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/>
  <mc:AlternateContent xmlns:mc="http://schemas.openxmlformats.org/markup-compatibility/2006">
    <mc:Choice Requires="x15">
      <x15ac:absPath xmlns:x15ac="http://schemas.microsoft.com/office/spreadsheetml/2010/11/ac" url="/Users/ron/Documents/NEW STUFF/NEWEST STUFF/Post Retirement Projects/CSC2702 2022 June-August/TechCorp Rubric/"/>
    </mc:Choice>
  </mc:AlternateContent>
  <xr:revisionPtr revIDLastSave="0" documentId="13_ncr:1_{234C9A79-D603-5840-B767-2209E9C6E60A}" xr6:coauthVersionLast="47" xr6:coauthVersionMax="47" xr10:uidLastSave="{00000000-0000-0000-0000-000000000000}"/>
  <bookViews>
    <workbookView xWindow="800" yWindow="760" windowWidth="29120" windowHeight="21580" tabRatio="662" xr2:uid="{00000000-000D-0000-FFFF-FFFF00000000}"/>
  </bookViews>
  <sheets>
    <sheet name="SlowGrowth" sheetId="10" r:id="rId1"/>
  </sheets>
  <definedNames>
    <definedName name="_xlnm.Print_Area" localSheetId="0">SlowGrowth!$A$1:$V$60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0" i="10" l="1"/>
  <c r="G20" i="10"/>
  <c r="H20" i="10"/>
  <c r="I20" i="10"/>
  <c r="J20" i="10"/>
  <c r="K20" i="10"/>
  <c r="L20" i="10"/>
  <c r="M20" i="10"/>
  <c r="N20" i="10"/>
  <c r="O20" i="10"/>
  <c r="P20" i="10"/>
  <c r="E20" i="10"/>
  <c r="F39" i="10"/>
  <c r="F41" i="10" s="1"/>
  <c r="G39" i="10"/>
  <c r="G41" i="10" s="1"/>
  <c r="H39" i="10"/>
  <c r="H41" i="10" s="1"/>
  <c r="I39" i="10"/>
  <c r="I41" i="10" s="1"/>
  <c r="J39" i="10"/>
  <c r="J41" i="10" s="1"/>
  <c r="E39" i="10"/>
  <c r="E41" i="10" s="1"/>
  <c r="F40" i="10"/>
  <c r="G40" i="10"/>
  <c r="H40" i="10"/>
  <c r="I40" i="10"/>
  <c r="J40" i="10"/>
  <c r="E40" i="10"/>
  <c r="D33" i="10"/>
  <c r="E33" i="10"/>
  <c r="F33" i="10"/>
  <c r="G33" i="10"/>
  <c r="H33" i="10"/>
  <c r="I33" i="10"/>
  <c r="F54" i="10" l="1"/>
  <c r="I54" i="10"/>
  <c r="G54" i="10"/>
  <c r="J54" i="10"/>
  <c r="H54" i="10"/>
  <c r="E54" i="10"/>
  <c r="J11" i="10"/>
  <c r="K4" i="10" l="1"/>
  <c r="K39" i="10" s="1"/>
  <c r="K40" i="10" l="1"/>
  <c r="K41" i="10" s="1"/>
  <c r="F21" i="10"/>
  <c r="L4" i="10"/>
  <c r="L39" i="10" s="1"/>
  <c r="K11" i="10"/>
  <c r="J21" i="10"/>
  <c r="G21" i="10"/>
  <c r="H21" i="10"/>
  <c r="D46" i="10"/>
  <c r="E46" i="10" s="1"/>
  <c r="E23" i="10"/>
  <c r="E24" i="10"/>
  <c r="E25" i="10"/>
  <c r="E26" i="10"/>
  <c r="E27" i="10"/>
  <c r="E43" i="10" s="1"/>
  <c r="E28" i="10"/>
  <c r="F24" i="10"/>
  <c r="F23" i="10"/>
  <c r="F25" i="10"/>
  <c r="F26" i="10"/>
  <c r="F27" i="10"/>
  <c r="F43" i="10" s="1"/>
  <c r="F28" i="10"/>
  <c r="G24" i="10"/>
  <c r="G23" i="10"/>
  <c r="G25" i="10"/>
  <c r="G26" i="10"/>
  <c r="G27" i="10"/>
  <c r="G43" i="10" s="1"/>
  <c r="G28" i="10"/>
  <c r="H27" i="10"/>
  <c r="H43" i="10" s="1"/>
  <c r="H23" i="10"/>
  <c r="H24" i="10"/>
  <c r="H25" i="10"/>
  <c r="H26" i="10"/>
  <c r="H28" i="10"/>
  <c r="I23" i="10"/>
  <c r="I24" i="10"/>
  <c r="I25" i="10"/>
  <c r="I26" i="10"/>
  <c r="J23" i="10"/>
  <c r="J24" i="10"/>
  <c r="J25" i="10"/>
  <c r="J26" i="10"/>
  <c r="K23" i="10"/>
  <c r="K24" i="10"/>
  <c r="K25" i="10"/>
  <c r="K26" i="10"/>
  <c r="L23" i="10"/>
  <c r="L24" i="10"/>
  <c r="L25" i="10"/>
  <c r="L26" i="10"/>
  <c r="M23" i="10"/>
  <c r="M24" i="10"/>
  <c r="M25" i="10"/>
  <c r="M26" i="10"/>
  <c r="N23" i="10"/>
  <c r="N24" i="10"/>
  <c r="N25" i="10"/>
  <c r="N26" i="10"/>
  <c r="O23" i="10"/>
  <c r="O24" i="10"/>
  <c r="O25" i="10"/>
  <c r="O26" i="10"/>
  <c r="P23" i="10"/>
  <c r="P24" i="10"/>
  <c r="P25" i="10"/>
  <c r="P26" i="10"/>
  <c r="D23" i="10"/>
  <c r="D24" i="10"/>
  <c r="D25" i="10"/>
  <c r="D26" i="10"/>
  <c r="D43" i="10"/>
  <c r="D28" i="10"/>
  <c r="P59" i="10"/>
  <c r="O59" i="10"/>
  <c r="N59" i="10"/>
  <c r="M59" i="10"/>
  <c r="L59" i="10"/>
  <c r="K59" i="10"/>
  <c r="J59" i="10"/>
  <c r="I59" i="10"/>
  <c r="H59" i="10"/>
  <c r="G59" i="10"/>
  <c r="F59" i="10"/>
  <c r="E59" i="10"/>
  <c r="D59" i="10"/>
  <c r="K54" i="10" l="1"/>
  <c r="L11" i="10"/>
  <c r="L40" i="10"/>
  <c r="L41" i="10" s="1"/>
  <c r="M4" i="10"/>
  <c r="M39" i="10" s="1"/>
  <c r="K21" i="10"/>
  <c r="M19" i="10"/>
  <c r="I19" i="10"/>
  <c r="I21" i="10" s="1"/>
  <c r="E29" i="10"/>
  <c r="E34" i="10" s="1"/>
  <c r="E45" i="10" s="1"/>
  <c r="E47" i="10" s="1"/>
  <c r="E48" i="10" s="1"/>
  <c r="F29" i="10"/>
  <c r="F34" i="10" s="1"/>
  <c r="F45" i="10" s="1"/>
  <c r="H29" i="10"/>
  <c r="H34" i="10" s="1"/>
  <c r="H45" i="10" s="1"/>
  <c r="G29" i="10"/>
  <c r="G34" i="10" s="1"/>
  <c r="G45" i="10" s="1"/>
  <c r="E55" i="10"/>
  <c r="F46" i="10"/>
  <c r="G46" i="10" s="1"/>
  <c r="H46" i="10" s="1"/>
  <c r="D44" i="10"/>
  <c r="D21" i="10"/>
  <c r="D34" i="10"/>
  <c r="D45" i="10" s="1"/>
  <c r="D47" i="10" s="1"/>
  <c r="D48" i="10" s="1"/>
  <c r="D49" i="10" s="1"/>
  <c r="E21" i="10"/>
  <c r="L54" i="10" l="1"/>
  <c r="L21" i="10"/>
  <c r="N4" i="10"/>
  <c r="N39" i="10" s="1"/>
  <c r="M40" i="10"/>
  <c r="M41" i="10" s="1"/>
  <c r="M11" i="10"/>
  <c r="G47" i="10"/>
  <c r="G48" i="10" s="1"/>
  <c r="F47" i="10"/>
  <c r="F48" i="10" s="1"/>
  <c r="H47" i="10"/>
  <c r="H48" i="10" s="1"/>
  <c r="D35" i="10"/>
  <c r="F55" i="10"/>
  <c r="G55" i="10" s="1"/>
  <c r="H55" i="10" s="1"/>
  <c r="D36" i="10"/>
  <c r="E15" i="10" s="1"/>
  <c r="E36" i="10" s="1"/>
  <c r="I28" i="10"/>
  <c r="I27" i="10"/>
  <c r="E44" i="10"/>
  <c r="E49" i="10"/>
  <c r="E35" i="10"/>
  <c r="J12" i="10"/>
  <c r="J33" i="10" s="1"/>
  <c r="M54" i="10" l="1"/>
  <c r="N11" i="10"/>
  <c r="O4" i="10"/>
  <c r="O39" i="10" s="1"/>
  <c r="O40" i="10"/>
  <c r="N40" i="10"/>
  <c r="N41" i="10" s="1"/>
  <c r="I29" i="10"/>
  <c r="J28" i="10"/>
  <c r="D53" i="10"/>
  <c r="D56" i="10" s="1"/>
  <c r="D60" i="10" s="1"/>
  <c r="I43" i="10"/>
  <c r="J27" i="10"/>
  <c r="E53" i="10"/>
  <c r="E56" i="10" s="1"/>
  <c r="E60" i="10" s="1"/>
  <c r="F15" i="10"/>
  <c r="F35" i="10"/>
  <c r="O41" i="10" l="1"/>
  <c r="N54" i="10"/>
  <c r="N21" i="10"/>
  <c r="O54" i="10"/>
  <c r="O21" i="10"/>
  <c r="P4" i="10"/>
  <c r="P39" i="10" s="1"/>
  <c r="O11" i="10"/>
  <c r="M21" i="10"/>
  <c r="J29" i="10"/>
  <c r="K12" i="10"/>
  <c r="K28" i="10" s="1"/>
  <c r="I46" i="10"/>
  <c r="K27" i="10"/>
  <c r="J43" i="10"/>
  <c r="F36" i="10"/>
  <c r="F53" i="10" s="1"/>
  <c r="F56" i="10" s="1"/>
  <c r="F60" i="10" s="1"/>
  <c r="G35" i="10"/>
  <c r="F44" i="10"/>
  <c r="F49" i="10"/>
  <c r="P40" i="10" l="1"/>
  <c r="P41" i="10" s="1"/>
  <c r="P11" i="10"/>
  <c r="K33" i="10"/>
  <c r="K31" i="10"/>
  <c r="K29" i="10"/>
  <c r="L12" i="10"/>
  <c r="L28" i="10" s="1"/>
  <c r="J46" i="10"/>
  <c r="I55" i="10"/>
  <c r="L27" i="10"/>
  <c r="K43" i="10"/>
  <c r="G15" i="10"/>
  <c r="G36" i="10" s="1"/>
  <c r="G44" i="10"/>
  <c r="G49" i="10"/>
  <c r="H35" i="10"/>
  <c r="P21" i="10" l="1"/>
  <c r="P54" i="10"/>
  <c r="K46" i="10"/>
  <c r="L31" i="10"/>
  <c r="L33" i="10"/>
  <c r="L29" i="10"/>
  <c r="M12" i="10"/>
  <c r="M28" i="10" s="1"/>
  <c r="J55" i="10"/>
  <c r="M27" i="10"/>
  <c r="L43" i="10"/>
  <c r="H44" i="10"/>
  <c r="H49" i="10"/>
  <c r="R49" i="10" s="1"/>
  <c r="R41" i="10"/>
  <c r="G53" i="10"/>
  <c r="G56" i="10" s="1"/>
  <c r="G60" i="10" s="1"/>
  <c r="H15" i="10"/>
  <c r="H36" i="10" s="1"/>
  <c r="K55" i="10" l="1"/>
  <c r="L46" i="10"/>
  <c r="L55" i="10" s="1"/>
  <c r="M31" i="10"/>
  <c r="M29" i="10"/>
  <c r="N12" i="10"/>
  <c r="N28" i="10" s="1"/>
  <c r="M33" i="10"/>
  <c r="M43" i="10"/>
  <c r="N27" i="10"/>
  <c r="I15" i="10"/>
  <c r="H53" i="10"/>
  <c r="H56" i="10" s="1"/>
  <c r="H60" i="10" s="1"/>
  <c r="I34" i="10"/>
  <c r="I44" i="10"/>
  <c r="M46" i="10" l="1"/>
  <c r="M55" i="10" s="1"/>
  <c r="N31" i="10"/>
  <c r="N29" i="10"/>
  <c r="O12" i="10"/>
  <c r="O31" i="10" s="1"/>
  <c r="N33" i="10"/>
  <c r="N43" i="10"/>
  <c r="I45" i="10"/>
  <c r="I47" i="10" s="1"/>
  <c r="I48" i="10" s="1"/>
  <c r="I49" i="10" s="1"/>
  <c r="I35" i="10"/>
  <c r="I36" i="10"/>
  <c r="J44" i="10"/>
  <c r="J34" i="10"/>
  <c r="J45" i="10" s="1"/>
  <c r="J47" i="10" s="1"/>
  <c r="J48" i="10" s="1"/>
  <c r="J49" i="10" s="1"/>
  <c r="N46" i="10" l="1"/>
  <c r="N55" i="10" s="1"/>
  <c r="P12" i="10"/>
  <c r="P31" i="10" s="1"/>
  <c r="O27" i="10"/>
  <c r="O28" i="10"/>
  <c r="S41" i="10"/>
  <c r="K44" i="10"/>
  <c r="K34" i="10"/>
  <c r="I53" i="10"/>
  <c r="I56" i="10" s="1"/>
  <c r="I60" i="10" s="1"/>
  <c r="J15" i="10"/>
  <c r="J36" i="10" s="1"/>
  <c r="J35" i="10"/>
  <c r="O29" i="10" l="1"/>
  <c r="K45" i="10"/>
  <c r="K47" i="10" s="1"/>
  <c r="K48" i="10" s="1"/>
  <c r="K49" i="10" s="1"/>
  <c r="K35" i="10"/>
  <c r="K15" i="10"/>
  <c r="K36" i="10" s="1"/>
  <c r="J53" i="10"/>
  <c r="J56" i="10" s="1"/>
  <c r="J60" i="10" s="1"/>
  <c r="O33" i="10"/>
  <c r="P27" i="10"/>
  <c r="L44" i="10"/>
  <c r="L34" i="10"/>
  <c r="L45" i="10" s="1"/>
  <c r="L47" i="10" s="1"/>
  <c r="L48" i="10" s="1"/>
  <c r="L49" i="10" s="1"/>
  <c r="O43" i="10"/>
  <c r="P28" i="10" l="1"/>
  <c r="P29" i="10" s="1"/>
  <c r="P33" i="10"/>
  <c r="O46" i="10"/>
  <c r="L35" i="10"/>
  <c r="M34" i="10"/>
  <c r="M44" i="10"/>
  <c r="L15" i="10"/>
  <c r="L36" i="10" s="1"/>
  <c r="K53" i="10"/>
  <c r="K56" i="10" s="1"/>
  <c r="K60" i="10" s="1"/>
  <c r="P43" i="10"/>
  <c r="S49" i="10"/>
  <c r="P46" i="10" l="1"/>
  <c r="O55" i="10"/>
  <c r="M45" i="10"/>
  <c r="M47" i="10" s="1"/>
  <c r="M48" i="10" s="1"/>
  <c r="M49" i="10" s="1"/>
  <c r="M35" i="10"/>
  <c r="N34" i="10"/>
  <c r="N44" i="10"/>
  <c r="L53" i="10"/>
  <c r="L56" i="10" s="1"/>
  <c r="L60" i="10" s="1"/>
  <c r="M15" i="10"/>
  <c r="M36" i="10" s="1"/>
  <c r="P55" i="10" l="1"/>
  <c r="N45" i="10"/>
  <c r="N47" i="10" s="1"/>
  <c r="N48" i="10" s="1"/>
  <c r="N49" i="10" s="1"/>
  <c r="N35" i="10"/>
  <c r="O34" i="10"/>
  <c r="O44" i="10"/>
  <c r="M53" i="10"/>
  <c r="M56" i="10" s="1"/>
  <c r="M60" i="10" s="1"/>
  <c r="N15" i="10"/>
  <c r="N36" i="10" s="1"/>
  <c r="O45" i="10" l="1"/>
  <c r="O47" i="10" s="1"/>
  <c r="O48" i="10" s="1"/>
  <c r="O49" i="10" s="1"/>
  <c r="O35" i="10"/>
  <c r="O15" i="10"/>
  <c r="O36" i="10" s="1"/>
  <c r="N53" i="10"/>
  <c r="N56" i="10" s="1"/>
  <c r="N60" i="10" s="1"/>
  <c r="P44" i="10"/>
  <c r="P34" i="10"/>
  <c r="T41" i="10"/>
  <c r="P45" i="10" l="1"/>
  <c r="P47" i="10" s="1"/>
  <c r="P48" i="10" s="1"/>
  <c r="P49" i="10" s="1"/>
  <c r="T49" i="10" s="1"/>
  <c r="P35" i="10"/>
  <c r="O53" i="10"/>
  <c r="O56" i="10" s="1"/>
  <c r="O60" i="10" s="1"/>
  <c r="P15" i="10"/>
  <c r="P36" i="10" s="1"/>
  <c r="P53" i="10" l="1"/>
  <c r="P56" i="10" s="1"/>
  <c r="P60" i="10" s="1"/>
</calcChain>
</file>

<file path=xl/sharedStrings.xml><?xml version="1.0" encoding="utf-8"?>
<sst xmlns="http://schemas.openxmlformats.org/spreadsheetml/2006/main" count="113" uniqueCount="105">
  <si>
    <t>Undepreciated value of equipment and furniture</t>
  </si>
  <si>
    <t>Gross Margin</t>
  </si>
  <si>
    <t>Total Fixed Costs</t>
  </si>
  <si>
    <t>CASH FLOW</t>
  </si>
  <si>
    <t>TOTAL EXPENSES</t>
  </si>
  <si>
    <t>PROFIT (LOSS)</t>
  </si>
  <si>
    <t>BALANCE SHEET</t>
  </si>
  <si>
    <t>Straight line over 3 years</t>
  </si>
  <si>
    <t>Q2</t>
  </si>
  <si>
    <t>Q3</t>
  </si>
  <si>
    <t>Q4</t>
  </si>
  <si>
    <t>Q1</t>
  </si>
  <si>
    <t>CASH IN</t>
  </si>
  <si>
    <t>Opening Balance</t>
  </si>
  <si>
    <t>Investment</t>
  </si>
  <si>
    <t>CASH OUT</t>
  </si>
  <si>
    <t>Variable Costs (Cost of Goods Sold)</t>
  </si>
  <si>
    <t>Legal/accounting</t>
  </si>
  <si>
    <t>Closing Balance</t>
  </si>
  <si>
    <t>EXPENSES</t>
  </si>
  <si>
    <t>Total Cash In</t>
  </si>
  <si>
    <t>Total Cash Out</t>
  </si>
  <si>
    <t>TOTAL REVENUE</t>
  </si>
  <si>
    <t>Collections</t>
  </si>
  <si>
    <t>ASSETS</t>
  </si>
  <si>
    <t>ASSETS = LIABILITIES + SHAREHOLDER'S EQUITY</t>
  </si>
  <si>
    <t>Cash</t>
  </si>
  <si>
    <t>Accounts receivable</t>
  </si>
  <si>
    <t>TOTAL ASSETS</t>
  </si>
  <si>
    <t>LIABILITIES</t>
  </si>
  <si>
    <t>SHAREHOLDER'S EQUITY</t>
  </si>
  <si>
    <t>Accounts payable</t>
  </si>
  <si>
    <t>TOTAL LIABILITIES</t>
  </si>
  <si>
    <t>Q6</t>
  </si>
  <si>
    <t>Q7</t>
  </si>
  <si>
    <t>Q8</t>
  </si>
  <si>
    <t>Q9</t>
  </si>
  <si>
    <t>Q11</t>
  </si>
  <si>
    <t>Q12</t>
  </si>
  <si>
    <t>Fixed costs</t>
  </si>
  <si>
    <t>Grants</t>
  </si>
  <si>
    <t>FY2</t>
  </si>
  <si>
    <t>FY3</t>
  </si>
  <si>
    <t>Rent + office expenses</t>
  </si>
  <si>
    <t>Benefits</t>
  </si>
  <si>
    <t>SR&amp;Eds</t>
  </si>
  <si>
    <t>Cash Flow</t>
  </si>
  <si>
    <t>see line 12</t>
  </si>
  <si>
    <t>Admin</t>
  </si>
  <si>
    <t>Q0</t>
  </si>
  <si>
    <t>FY0 is 1 quarter only</t>
  </si>
  <si>
    <t>FY1</t>
  </si>
  <si>
    <t>Design/support/training</t>
  </si>
  <si>
    <t>CEO</t>
  </si>
  <si>
    <t>Biz dev, sales/mktg, #s</t>
  </si>
  <si>
    <t>VP Development</t>
  </si>
  <si>
    <t>Software developers. #s</t>
  </si>
  <si>
    <t>Biz dev, sales/mktg</t>
  </si>
  <si>
    <t>2022-23</t>
  </si>
  <si>
    <t>2023-24</t>
  </si>
  <si>
    <t>PERSONNEL ASSUMPTIONS</t>
  </si>
  <si>
    <t>SALES ASSUMPTIONS</t>
  </si>
  <si>
    <t>see line 11</t>
  </si>
  <si>
    <t>Cash drain or gain</t>
  </si>
  <si>
    <t>Sales/mktg web,shows,travel</t>
  </si>
  <si>
    <t>PROFIT AND LOSS</t>
  </si>
  <si>
    <t>Assume worst case: all bills paid immediately (as with payroll)</t>
  </si>
  <si>
    <t>Q10</t>
  </si>
  <si>
    <t>B2B partners</t>
  </si>
  <si>
    <t>B2C customers</t>
  </si>
  <si>
    <t>Equity infusions</t>
  </si>
  <si>
    <t>A fraction  $B$5 of the B2C customers yiled $C$5 revenue per quarter</t>
  </si>
  <si>
    <t>Assume no bad debts</t>
  </si>
  <si>
    <t>see line 9</t>
  </si>
  <si>
    <t>see line 10</t>
  </si>
  <si>
    <t>see line 13</t>
  </si>
  <si>
    <t>see line 14</t>
  </si>
  <si>
    <t>Input specific values for sales  and marketing expenses</t>
  </si>
  <si>
    <t>PROFIT (LOSS). Profitable by Q12</t>
  </si>
  <si>
    <t>Equipment</t>
  </si>
  <si>
    <t>Equipment: server, PCs, furniture</t>
  </si>
  <si>
    <t>Cellls in yellow have specific values input, others computed as outputs</t>
  </si>
  <si>
    <t>Specific values for number partners, each yields $C$3 revenue per quarter (Q)</t>
  </si>
  <si>
    <t>Hardware depreciation</t>
  </si>
  <si>
    <t>S'ware developers</t>
  </si>
  <si>
    <t>Specific vals of B2C customers ==&gt; $C$4 rev per Q, then growth of $B$4 per Q</t>
  </si>
  <si>
    <t>Delay eceiving payments, $B$21 * Rev current Q + (1-$B$21) * Rev previous Q</t>
  </si>
  <si>
    <t>First no office space, then rent proportional to head count, $B$33 per person</t>
  </si>
  <si>
    <t>Q0-12 (3 FYs)</t>
  </si>
  <si>
    <t>Salaries for each job category shown in $B$25:$B$30</t>
  </si>
  <si>
    <t>#FTE people being paid, reduced fractions for sweat equioty for CEO, VP Dev</t>
  </si>
  <si>
    <t>Support people = $B$13*B2B partners + $C$13*B2C customers</t>
  </si>
  <si>
    <t>$C$14 admin staff pre core employee (lines 9-13)</t>
  </si>
  <si>
    <t>Estimate of SR&amp;Eds based  on tech staff, $B$21 of development cost incl.CEO</t>
  </si>
  <si>
    <t>$C$31 percentage of salary cost for benefits</t>
  </si>
  <si>
    <t>Input specific values for legal and accounting, assume 3 patent filings</t>
  </si>
  <si>
    <t>$B$34 per employee per quarter</t>
  </si>
  <si>
    <t>Not all revenues are immediately collected</t>
  </si>
  <si>
    <t>Q5</t>
  </si>
  <si>
    <t>2022July26</t>
  </si>
  <si>
    <t>Premium support rev</t>
  </si>
  <si>
    <t>Product revenue</t>
  </si>
  <si>
    <t>Revenue from B2B and B2C customers</t>
  </si>
  <si>
    <t>Note minima in Q1, Q3, Q5, Q10</t>
  </si>
  <si>
    <t>2024-25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</si>
</sst>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5" formatCode="&quot;$&quot;#,##0_);\(&quot;$&quot;#,##0\)"/>
    <numFmt numFmtId="6" formatCode="&quot;$&quot;#,##0_);[Red]\(&quot;$&quot;#,##0\)"/>
    <numFmt numFmtId="164" formatCode="_-* #,##0.00_-;\-* #,##0.00_-;_-* &quot;-&quot;??_-;_-@_-"/>
    <numFmt numFmtId="165" formatCode="&quot;$&quot;#,##0"/>
    <numFmt numFmtId="166" formatCode="0.0%"/>
    <numFmt numFmtId="167" formatCode="0.0"/>
    <numFmt numFmtId="168" formatCode="0.000"/>
  </numFmts>
  <fonts count="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i/>
      <sz val="9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ck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6">
    <xf numFmtId="0" fontId="0" fillId="0" borderId="0" xfId="0"/>
    <xf numFmtId="0" fontId="3" fillId="0" borderId="0" xfId="0" applyFont="1"/>
    <xf numFmtId="0" fontId="4" fillId="0" borderId="0" xfId="0" applyFont="1"/>
    <xf numFmtId="2" fontId="4" fillId="0" borderId="0" xfId="0" applyNumberFormat="1" applyFont="1"/>
    <xf numFmtId="0" fontId="4" fillId="0" borderId="1" xfId="0" applyFont="1" applyBorder="1"/>
    <xf numFmtId="0" fontId="4" fillId="0" borderId="0" xfId="0" applyFont="1" applyBorder="1"/>
    <xf numFmtId="0" fontId="4" fillId="0" borderId="4" xfId="0" applyFont="1" applyBorder="1"/>
    <xf numFmtId="0" fontId="4" fillId="0" borderId="5" xfId="0" applyFont="1" applyBorder="1"/>
    <xf numFmtId="0" fontId="4" fillId="2" borderId="0" xfId="0" applyFont="1" applyFill="1"/>
    <xf numFmtId="0" fontId="4" fillId="0" borderId="0" xfId="0" applyFont="1" applyFill="1"/>
    <xf numFmtId="0" fontId="5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0" xfId="0" applyFont="1" applyFill="1"/>
    <xf numFmtId="0" fontId="3" fillId="0" borderId="1" xfId="0" applyFont="1" applyFill="1" applyBorder="1"/>
    <xf numFmtId="0" fontId="3" fillId="2" borderId="0" xfId="0" applyFont="1" applyFill="1"/>
    <xf numFmtId="166" fontId="3" fillId="3" borderId="0" xfId="0" applyNumberFormat="1" applyFont="1" applyFill="1"/>
    <xf numFmtId="1" fontId="3" fillId="3" borderId="0" xfId="0" applyNumberFormat="1" applyFont="1" applyFill="1"/>
    <xf numFmtId="1" fontId="3" fillId="3" borderId="4" xfId="0" applyNumberFormat="1" applyFont="1" applyFill="1" applyBorder="1"/>
    <xf numFmtId="1" fontId="3" fillId="3" borderId="5" xfId="0" applyNumberFormat="1" applyFont="1" applyFill="1" applyBorder="1"/>
    <xf numFmtId="1" fontId="3" fillId="3" borderId="1" xfId="0" applyNumberFormat="1" applyFont="1" applyFill="1" applyBorder="1"/>
    <xf numFmtId="3" fontId="3" fillId="3" borderId="0" xfId="0" applyNumberFormat="1" applyFont="1" applyFill="1"/>
    <xf numFmtId="3" fontId="3" fillId="3" borderId="0" xfId="0" applyNumberFormat="1" applyFont="1" applyFill="1" applyBorder="1"/>
    <xf numFmtId="3" fontId="3" fillId="3" borderId="4" xfId="0" applyNumberFormat="1" applyFont="1" applyFill="1" applyBorder="1"/>
    <xf numFmtId="3" fontId="3" fillId="0" borderId="0" xfId="0" applyNumberFormat="1" applyFont="1"/>
    <xf numFmtId="9" fontId="3" fillId="3" borderId="0" xfId="0" applyNumberFormat="1" applyFont="1" applyFill="1"/>
    <xf numFmtId="6" fontId="3" fillId="0" borderId="2" xfId="0" applyNumberFormat="1" applyFont="1" applyFill="1" applyBorder="1"/>
    <xf numFmtId="6" fontId="3" fillId="0" borderId="8" xfId="0" applyNumberFormat="1" applyFont="1" applyFill="1" applyBorder="1"/>
    <xf numFmtId="6" fontId="3" fillId="0" borderId="6" xfId="0" applyNumberFormat="1" applyFont="1" applyFill="1" applyBorder="1"/>
    <xf numFmtId="6" fontId="3" fillId="0" borderId="7" xfId="0" applyNumberFormat="1" applyFont="1" applyFill="1" applyBorder="1"/>
    <xf numFmtId="6" fontId="3" fillId="0" borderId="0" xfId="0" applyNumberFormat="1" applyFont="1" applyFill="1" applyBorder="1"/>
    <xf numFmtId="0" fontId="3" fillId="0" borderId="0" xfId="0" applyFont="1" applyAlignment="1">
      <alignment horizontal="right"/>
    </xf>
    <xf numFmtId="2" fontId="3" fillId="0" borderId="0" xfId="0" applyNumberFormat="1" applyFont="1" applyAlignment="1">
      <alignment horizontal="right"/>
    </xf>
    <xf numFmtId="6" fontId="3" fillId="0" borderId="0" xfId="0" applyNumberFormat="1" applyFont="1" applyBorder="1" applyAlignment="1">
      <alignment horizontal="right"/>
    </xf>
    <xf numFmtId="6" fontId="3" fillId="0" borderId="1" xfId="0" applyNumberFormat="1" applyFont="1" applyBorder="1" applyAlignment="1">
      <alignment horizontal="right"/>
    </xf>
    <xf numFmtId="6" fontId="3" fillId="2" borderId="0" xfId="0" applyNumberFormat="1" applyFont="1" applyFill="1"/>
    <xf numFmtId="6" fontId="3" fillId="0" borderId="0" xfId="0" applyNumberFormat="1" applyFont="1" applyFill="1"/>
    <xf numFmtId="9" fontId="4" fillId="3" borderId="0" xfId="0" applyNumberFormat="1" applyFont="1" applyFill="1"/>
    <xf numFmtId="2" fontId="3" fillId="0" borderId="0" xfId="0" applyNumberFormat="1" applyFont="1"/>
    <xf numFmtId="167" fontId="3" fillId="3" borderId="1" xfId="0" applyNumberFormat="1" applyFont="1" applyFill="1" applyBorder="1"/>
    <xf numFmtId="167" fontId="3" fillId="3" borderId="0" xfId="0" applyNumberFormat="1" applyFont="1" applyFill="1"/>
    <xf numFmtId="167" fontId="3" fillId="3" borderId="0" xfId="0" applyNumberFormat="1" applyFont="1" applyFill="1" applyBorder="1"/>
    <xf numFmtId="167" fontId="3" fillId="3" borderId="4" xfId="0" applyNumberFormat="1" applyFont="1" applyFill="1" applyBorder="1"/>
    <xf numFmtId="167" fontId="3" fillId="3" borderId="5" xfId="0" applyNumberFormat="1" applyFont="1" applyFill="1" applyBorder="1"/>
    <xf numFmtId="168" fontId="3" fillId="3" borderId="0" xfId="0" applyNumberFormat="1" applyFont="1" applyFill="1"/>
    <xf numFmtId="167" fontId="3" fillId="3" borderId="2" xfId="0" applyNumberFormat="1" applyFont="1" applyFill="1" applyBorder="1"/>
    <xf numFmtId="167" fontId="3" fillId="0" borderId="0" xfId="0" applyNumberFormat="1" applyFont="1" applyFill="1"/>
    <xf numFmtId="2" fontId="3" fillId="3" borderId="0" xfId="0" applyNumberFormat="1" applyFont="1" applyFill="1"/>
    <xf numFmtId="167" fontId="3" fillId="0" borderId="0" xfId="0" applyNumberFormat="1" applyFont="1"/>
    <xf numFmtId="167" fontId="3" fillId="0" borderId="5" xfId="0" applyNumberFormat="1" applyFont="1" applyBorder="1"/>
    <xf numFmtId="6" fontId="3" fillId="3" borderId="0" xfId="0" applyNumberFormat="1" applyFont="1" applyFill="1"/>
    <xf numFmtId="0" fontId="4" fillId="0" borderId="1" xfId="0" applyFont="1" applyFill="1" applyBorder="1"/>
    <xf numFmtId="2" fontId="5" fillId="0" borderId="0" xfId="0" applyNumberFormat="1" applyFont="1"/>
    <xf numFmtId="5" fontId="6" fillId="3" borderId="3" xfId="0" applyNumberFormat="1" applyFont="1" applyFill="1" applyBorder="1"/>
    <xf numFmtId="5" fontId="6" fillId="0" borderId="0" xfId="0" applyNumberFormat="1" applyFont="1"/>
    <xf numFmtId="5" fontId="6" fillId="0" borderId="0" xfId="0" applyNumberFormat="1" applyFont="1" applyBorder="1"/>
    <xf numFmtId="5" fontId="6" fillId="0" borderId="4" xfId="0" applyNumberFormat="1" applyFont="1" applyBorder="1"/>
    <xf numFmtId="5" fontId="6" fillId="0" borderId="5" xfId="0" applyNumberFormat="1" applyFont="1" applyBorder="1"/>
    <xf numFmtId="5" fontId="6" fillId="0" borderId="1" xfId="0" applyNumberFormat="1" applyFont="1" applyBorder="1"/>
    <xf numFmtId="5" fontId="5" fillId="2" borderId="0" xfId="0" applyNumberFormat="1" applyFont="1" applyFill="1"/>
    <xf numFmtId="5" fontId="5" fillId="0" borderId="0" xfId="0" applyNumberFormat="1" applyFont="1" applyFill="1"/>
    <xf numFmtId="0" fontId="5" fillId="2" borderId="0" xfId="0" applyFont="1" applyFill="1"/>
    <xf numFmtId="5" fontId="3" fillId="0" borderId="1" xfId="0" applyNumberFormat="1" applyFont="1" applyBorder="1"/>
    <xf numFmtId="5" fontId="3" fillId="0" borderId="0" xfId="0" applyNumberFormat="1" applyFont="1"/>
    <xf numFmtId="5" fontId="3" fillId="0" borderId="0" xfId="0" applyNumberFormat="1" applyFont="1" applyBorder="1"/>
    <xf numFmtId="5" fontId="3" fillId="0" borderId="4" xfId="0" applyNumberFormat="1" applyFont="1" applyBorder="1"/>
    <xf numFmtId="5" fontId="3" fillId="0" borderId="5" xfId="0" applyNumberFormat="1" applyFont="1" applyBorder="1"/>
    <xf numFmtId="5" fontId="4" fillId="0" borderId="0" xfId="0" applyNumberFormat="1" applyFont="1" applyFill="1"/>
    <xf numFmtId="5" fontId="4" fillId="0" borderId="1" xfId="0" applyNumberFormat="1" applyFont="1" applyFill="1" applyBorder="1"/>
    <xf numFmtId="5" fontId="4" fillId="2" borderId="0" xfId="0" applyNumberFormat="1" applyFont="1" applyFill="1"/>
    <xf numFmtId="5" fontId="6" fillId="3" borderId="1" xfId="0" applyNumberFormat="1" applyFont="1" applyFill="1" applyBorder="1"/>
    <xf numFmtId="6" fontId="6" fillId="3" borderId="0" xfId="0" applyNumberFormat="1" applyFont="1" applyFill="1" applyBorder="1"/>
    <xf numFmtId="6" fontId="6" fillId="0" borderId="0" xfId="0" applyNumberFormat="1" applyFont="1" applyBorder="1"/>
    <xf numFmtId="5" fontId="6" fillId="3" borderId="0" xfId="0" applyNumberFormat="1" applyFont="1" applyFill="1" applyBorder="1"/>
    <xf numFmtId="6" fontId="6" fillId="3" borderId="0" xfId="0" applyNumberFormat="1" applyFont="1" applyFill="1"/>
    <xf numFmtId="5" fontId="6" fillId="3" borderId="0" xfId="0" applyNumberFormat="1" applyFont="1" applyFill="1"/>
    <xf numFmtId="5" fontId="3" fillId="2" borderId="0" xfId="0" applyNumberFormat="1" applyFont="1" applyFill="1"/>
    <xf numFmtId="5" fontId="3" fillId="0" borderId="0" xfId="0" applyNumberFormat="1" applyFont="1" applyFill="1"/>
    <xf numFmtId="5" fontId="3" fillId="0" borderId="1" xfId="0" applyNumberFormat="1" applyFont="1" applyFill="1" applyBorder="1"/>
    <xf numFmtId="0" fontId="3" fillId="3" borderId="0" xfId="0" applyFont="1" applyFill="1"/>
    <xf numFmtId="5" fontId="6" fillId="2" borderId="0" xfId="0" applyNumberFormat="1" applyFont="1" applyFill="1"/>
    <xf numFmtId="5" fontId="6" fillId="0" borderId="0" xfId="0" applyNumberFormat="1" applyFont="1" applyFill="1"/>
    <xf numFmtId="6" fontId="6" fillId="2" borderId="0" xfId="0" applyNumberFormat="1" applyFont="1" applyFill="1"/>
    <xf numFmtId="10" fontId="3" fillId="3" borderId="0" xfId="0" applyNumberFormat="1" applyFont="1" applyFill="1"/>
    <xf numFmtId="5" fontId="3" fillId="3" borderId="1" xfId="0" applyNumberFormat="1" applyFont="1" applyFill="1" applyBorder="1"/>
    <xf numFmtId="5" fontId="3" fillId="3" borderId="0" xfId="0" applyNumberFormat="1" applyFont="1" applyFill="1"/>
    <xf numFmtId="5" fontId="3" fillId="3" borderId="0" xfId="0" applyNumberFormat="1" applyFont="1" applyFill="1" applyBorder="1"/>
    <xf numFmtId="5" fontId="3" fillId="3" borderId="4" xfId="0" applyNumberFormat="1" applyFont="1" applyFill="1" applyBorder="1"/>
    <xf numFmtId="5" fontId="3" fillId="3" borderId="5" xfId="0" applyNumberFormat="1" applyFont="1" applyFill="1" applyBorder="1"/>
    <xf numFmtId="2" fontId="3" fillId="0" borderId="0" xfId="0" applyNumberFormat="1" applyFont="1" applyFill="1"/>
    <xf numFmtId="5" fontId="3" fillId="3" borderId="0" xfId="0" applyNumberFormat="1" applyFont="1" applyFill="1" applyAlignment="1">
      <alignment horizontal="right"/>
    </xf>
    <xf numFmtId="5" fontId="3" fillId="3" borderId="5" xfId="0" applyNumberFormat="1" applyFont="1" applyFill="1" applyBorder="1" applyAlignment="1">
      <alignment horizontal="right"/>
    </xf>
    <xf numFmtId="5" fontId="3" fillId="3" borderId="0" xfId="0" applyNumberFormat="1" applyFont="1" applyFill="1" applyBorder="1" applyAlignment="1">
      <alignment horizontal="right"/>
    </xf>
    <xf numFmtId="165" fontId="3" fillId="3" borderId="0" xfId="0" applyNumberFormat="1" applyFont="1" applyFill="1"/>
    <xf numFmtId="0" fontId="5" fillId="0" borderId="0" xfId="0" applyFont="1" applyFill="1"/>
    <xf numFmtId="0" fontId="6" fillId="0" borderId="0" xfId="0" applyFont="1" applyFill="1"/>
    <xf numFmtId="2" fontId="6" fillId="0" borderId="0" xfId="0" applyNumberFormat="1" applyFont="1" applyFill="1"/>
    <xf numFmtId="6" fontId="6" fillId="0" borderId="1" xfId="0" applyNumberFormat="1" applyFont="1" applyFill="1" applyBorder="1"/>
    <xf numFmtId="6" fontId="6" fillId="0" borderId="0" xfId="0" applyNumberFormat="1" applyFont="1" applyFill="1"/>
    <xf numFmtId="6" fontId="6" fillId="0" borderId="0" xfId="0" applyNumberFormat="1" applyFont="1" applyFill="1" applyBorder="1"/>
    <xf numFmtId="6" fontId="6" fillId="0" borderId="4" xfId="0" applyNumberFormat="1" applyFont="1" applyFill="1" applyBorder="1"/>
    <xf numFmtId="6" fontId="6" fillId="0" borderId="5" xfId="0" applyNumberFormat="1" applyFont="1" applyFill="1" applyBorder="1"/>
    <xf numFmtId="0" fontId="6" fillId="2" borderId="0" xfId="0" applyFont="1" applyFill="1"/>
    <xf numFmtId="0" fontId="6" fillId="0" borderId="0" xfId="0" applyFont="1"/>
    <xf numFmtId="2" fontId="6" fillId="0" borderId="0" xfId="0" applyNumberFormat="1" applyFont="1"/>
    <xf numFmtId="6" fontId="6" fillId="0" borderId="1" xfId="0" applyNumberFormat="1" applyFont="1" applyBorder="1"/>
    <xf numFmtId="6" fontId="6" fillId="0" borderId="0" xfId="0" applyNumberFormat="1" applyFont="1"/>
    <xf numFmtId="6" fontId="6" fillId="0" borderId="4" xfId="0" applyNumberFormat="1" applyFont="1" applyBorder="1"/>
    <xf numFmtId="6" fontId="6" fillId="0" borderId="5" xfId="0" applyNumberFormat="1" applyFont="1" applyBorder="1"/>
    <xf numFmtId="5" fontId="6" fillId="0" borderId="1" xfId="0" applyNumberFormat="1" applyFont="1" applyFill="1" applyBorder="1"/>
    <xf numFmtId="6" fontId="3" fillId="0" borderId="1" xfId="0" applyNumberFormat="1" applyFont="1" applyBorder="1"/>
    <xf numFmtId="6" fontId="3" fillId="0" borderId="0" xfId="0" applyNumberFormat="1" applyFont="1"/>
    <xf numFmtId="6" fontId="3" fillId="0" borderId="0" xfId="0" applyNumberFormat="1" applyFont="1" applyBorder="1"/>
    <xf numFmtId="6" fontId="3" fillId="0" borderId="4" xfId="0" applyNumberFormat="1" applyFont="1" applyBorder="1"/>
    <xf numFmtId="6" fontId="3" fillId="0" borderId="5" xfId="0" applyNumberFormat="1" applyFont="1" applyBorder="1"/>
    <xf numFmtId="164" fontId="6" fillId="0" borderId="0" xfId="1" applyFont="1" applyFill="1"/>
    <xf numFmtId="17" fontId="4" fillId="0" borderId="0" xfId="0" applyNumberFormat="1" applyFont="1" applyFill="1"/>
    <xf numFmtId="5" fontId="3" fillId="0" borderId="2" xfId="0" applyNumberFormat="1" applyFont="1" applyBorder="1"/>
    <xf numFmtId="6" fontId="3" fillId="3" borderId="0" xfId="0" applyNumberFormat="1" applyFont="1" applyFill="1" applyBorder="1"/>
    <xf numFmtId="6" fontId="3" fillId="0" borderId="9" xfId="0" applyNumberFormat="1" applyFont="1" applyFill="1" applyBorder="1"/>
    <xf numFmtId="5" fontId="3" fillId="0" borderId="8" xfId="0" applyNumberFormat="1" applyFont="1" applyBorder="1"/>
    <xf numFmtId="5" fontId="3" fillId="0" borderId="6" xfId="0" applyNumberFormat="1" applyFont="1" applyBorder="1"/>
    <xf numFmtId="0" fontId="3" fillId="3" borderId="9" xfId="0" applyFont="1" applyFill="1" applyBorder="1"/>
    <xf numFmtId="1" fontId="3" fillId="3" borderId="9" xfId="0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82"/>
  <sheetViews>
    <sheetView tabSelected="1" zoomScale="101" zoomScaleNormal="97" zoomScaleSheetLayoutView="147" workbookViewId="0">
      <selection activeCell="V63" sqref="V63"/>
    </sheetView>
  </sheetViews>
  <sheetFormatPr baseColWidth="10" defaultColWidth="8.83203125" defaultRowHeight="12" x14ac:dyDescent="0.15"/>
  <cols>
    <col min="1" max="1" width="14.1640625" style="1" customWidth="1"/>
    <col min="2" max="2" width="8" style="1" customWidth="1"/>
    <col min="3" max="3" width="5.1640625" style="40" customWidth="1"/>
    <col min="4" max="4" width="7" style="1" customWidth="1"/>
    <col min="5" max="5" width="7.5" style="1" customWidth="1"/>
    <col min="6" max="6" width="8" style="1" customWidth="1"/>
    <col min="7" max="7" width="7.6640625" style="1" customWidth="1"/>
    <col min="8" max="8" width="8.33203125" style="12" customWidth="1"/>
    <col min="9" max="9" width="8.1640625" style="13" customWidth="1"/>
    <col min="10" max="10" width="8.83203125" style="1" customWidth="1"/>
    <col min="11" max="11" width="8.1640625" style="1" customWidth="1"/>
    <col min="12" max="12" width="8.1640625" style="11" customWidth="1"/>
    <col min="13" max="13" width="8.6640625" style="1" customWidth="1"/>
    <col min="14" max="14" width="8.5" style="15" customWidth="1"/>
    <col min="15" max="15" width="9.1640625" style="15" customWidth="1"/>
    <col min="16" max="16" width="9.33203125" style="16" bestFit="1" customWidth="1"/>
    <col min="17" max="17" width="1" style="17" customWidth="1"/>
    <col min="18" max="20" width="8.83203125" style="15" customWidth="1"/>
    <col min="21" max="21" width="1" style="17" customWidth="1"/>
    <col min="22" max="22" width="62" style="1" customWidth="1"/>
    <col min="23" max="16384" width="8.83203125" style="1"/>
  </cols>
  <sheetData>
    <row r="1" spans="1:22" s="2" customFormat="1" x14ac:dyDescent="0.15">
      <c r="A1" s="1" t="s">
        <v>88</v>
      </c>
      <c r="B1" s="2" t="s">
        <v>99</v>
      </c>
      <c r="C1" s="3"/>
      <c r="D1" s="4" t="s">
        <v>49</v>
      </c>
      <c r="E1" s="2" t="s">
        <v>11</v>
      </c>
      <c r="F1" s="2" t="s">
        <v>8</v>
      </c>
      <c r="G1" s="5" t="s">
        <v>9</v>
      </c>
      <c r="H1" s="5" t="s">
        <v>10</v>
      </c>
      <c r="I1" s="6" t="s">
        <v>98</v>
      </c>
      <c r="J1" s="2" t="s">
        <v>33</v>
      </c>
      <c r="K1" s="5" t="s">
        <v>34</v>
      </c>
      <c r="L1" s="7" t="s">
        <v>35</v>
      </c>
      <c r="M1" s="2" t="s">
        <v>36</v>
      </c>
      <c r="N1" s="5" t="s">
        <v>67</v>
      </c>
      <c r="O1" s="5" t="s">
        <v>37</v>
      </c>
      <c r="P1" s="4" t="s">
        <v>38</v>
      </c>
      <c r="Q1" s="8"/>
      <c r="R1" s="9" t="s">
        <v>51</v>
      </c>
      <c r="S1" s="9" t="s">
        <v>41</v>
      </c>
      <c r="T1" s="9" t="s">
        <v>42</v>
      </c>
      <c r="U1" s="8"/>
      <c r="V1" s="1" t="s">
        <v>50</v>
      </c>
    </row>
    <row r="2" spans="1:22" x14ac:dyDescent="0.15">
      <c r="A2" s="10" t="s">
        <v>61</v>
      </c>
      <c r="B2" s="2"/>
      <c r="C2" s="3"/>
      <c r="D2" s="11"/>
      <c r="L2" s="14"/>
      <c r="V2" s="1" t="s">
        <v>81</v>
      </c>
    </row>
    <row r="3" spans="1:22" x14ac:dyDescent="0.15">
      <c r="A3" s="1" t="s">
        <v>68</v>
      </c>
      <c r="B3" s="18"/>
      <c r="C3" s="120">
        <v>500</v>
      </c>
      <c r="D3" s="124">
        <v>2</v>
      </c>
      <c r="E3" s="19">
        <v>2</v>
      </c>
      <c r="F3" s="19">
        <v>2</v>
      </c>
      <c r="G3" s="19">
        <v>3</v>
      </c>
      <c r="H3" s="19">
        <v>3</v>
      </c>
      <c r="I3" s="20">
        <v>4</v>
      </c>
      <c r="J3" s="19">
        <v>5</v>
      </c>
      <c r="K3" s="19">
        <v>6</v>
      </c>
      <c r="L3" s="21">
        <v>7</v>
      </c>
      <c r="M3" s="19">
        <v>9</v>
      </c>
      <c r="N3" s="19">
        <v>11</v>
      </c>
      <c r="O3" s="19">
        <v>15</v>
      </c>
      <c r="P3" s="22">
        <v>20</v>
      </c>
      <c r="V3" s="1" t="s">
        <v>82</v>
      </c>
    </row>
    <row r="4" spans="1:22" x14ac:dyDescent="0.15">
      <c r="A4" s="1" t="s">
        <v>69</v>
      </c>
      <c r="B4" s="18">
        <v>0.6</v>
      </c>
      <c r="C4" s="120">
        <v>50</v>
      </c>
      <c r="D4" s="125">
        <v>0</v>
      </c>
      <c r="E4" s="19">
        <v>0</v>
      </c>
      <c r="F4" s="19">
        <v>10</v>
      </c>
      <c r="G4" s="23">
        <v>40</v>
      </c>
      <c r="H4" s="24">
        <v>100</v>
      </c>
      <c r="I4" s="25">
        <v>300</v>
      </c>
      <c r="J4" s="23">
        <v>750</v>
      </c>
      <c r="K4" s="26">
        <f>(1+$B$4)*J4</f>
        <v>1200</v>
      </c>
      <c r="L4" s="26">
        <f>(1+$B$4)*K4</f>
        <v>1920</v>
      </c>
      <c r="M4" s="26">
        <f>(1+$B$4)*L4</f>
        <v>3072</v>
      </c>
      <c r="N4" s="26">
        <f t="shared" ref="N4:P4" si="0">(1+$B$4)*M4</f>
        <v>4915.2000000000007</v>
      </c>
      <c r="O4" s="26">
        <f t="shared" si="0"/>
        <v>7864.3200000000015</v>
      </c>
      <c r="P4" s="26">
        <f t="shared" si="0"/>
        <v>12582.912000000004</v>
      </c>
      <c r="V4" s="1" t="s">
        <v>85</v>
      </c>
    </row>
    <row r="5" spans="1:22" x14ac:dyDescent="0.15">
      <c r="A5" s="10"/>
      <c r="B5" s="33"/>
      <c r="C5" s="34"/>
      <c r="D5" s="36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6"/>
      <c r="Q5" s="37"/>
      <c r="R5" s="38"/>
      <c r="S5" s="38"/>
      <c r="T5" s="38"/>
      <c r="U5" s="37"/>
    </row>
    <row r="6" spans="1:22" x14ac:dyDescent="0.15">
      <c r="A6" s="10" t="s">
        <v>60</v>
      </c>
      <c r="B6" s="39"/>
      <c r="C6" s="3"/>
      <c r="D6" s="11"/>
      <c r="L6" s="14"/>
      <c r="V6" s="1" t="s">
        <v>89</v>
      </c>
    </row>
    <row r="7" spans="1:22" x14ac:dyDescent="0.15">
      <c r="A7" s="1" t="s">
        <v>53</v>
      </c>
      <c r="D7" s="41">
        <v>0.2</v>
      </c>
      <c r="E7" s="42">
        <v>0.2</v>
      </c>
      <c r="F7" s="42">
        <v>0.2</v>
      </c>
      <c r="G7" s="42">
        <v>0.2</v>
      </c>
      <c r="H7" s="43">
        <v>0.2</v>
      </c>
      <c r="I7" s="44">
        <v>0.2</v>
      </c>
      <c r="J7" s="42">
        <v>0.4</v>
      </c>
      <c r="K7" s="42">
        <v>0.4</v>
      </c>
      <c r="L7" s="45">
        <v>0.4</v>
      </c>
      <c r="M7" s="42">
        <v>0.7</v>
      </c>
      <c r="N7" s="42">
        <v>0.7</v>
      </c>
      <c r="O7" s="42">
        <v>0.7</v>
      </c>
      <c r="P7" s="42">
        <v>0.7</v>
      </c>
      <c r="V7" s="1" t="s">
        <v>90</v>
      </c>
    </row>
    <row r="8" spans="1:22" x14ac:dyDescent="0.15">
      <c r="A8" s="1" t="s">
        <v>55</v>
      </c>
      <c r="D8" s="41">
        <v>0.2</v>
      </c>
      <c r="E8" s="42">
        <v>0.2</v>
      </c>
      <c r="F8" s="42">
        <v>0.2</v>
      </c>
      <c r="G8" s="42">
        <v>0.2</v>
      </c>
      <c r="H8" s="43">
        <v>0.2</v>
      </c>
      <c r="I8" s="44">
        <v>0.2</v>
      </c>
      <c r="J8" s="42">
        <v>0.4</v>
      </c>
      <c r="K8" s="42">
        <v>0.4</v>
      </c>
      <c r="L8" s="45">
        <v>0.4</v>
      </c>
      <c r="M8" s="42">
        <v>0.7</v>
      </c>
      <c r="N8" s="42">
        <v>0.7</v>
      </c>
      <c r="O8" s="42">
        <v>0.7</v>
      </c>
      <c r="P8" s="42">
        <v>0.7</v>
      </c>
    </row>
    <row r="9" spans="1:22" x14ac:dyDescent="0.15">
      <c r="A9" s="1" t="s">
        <v>56</v>
      </c>
      <c r="D9" s="41">
        <v>0</v>
      </c>
      <c r="E9" s="42">
        <v>0</v>
      </c>
      <c r="F9" s="42">
        <v>0.5</v>
      </c>
      <c r="G9" s="42">
        <v>1</v>
      </c>
      <c r="H9" s="43">
        <v>1</v>
      </c>
      <c r="I9" s="44">
        <v>1.5</v>
      </c>
      <c r="J9" s="42">
        <v>2</v>
      </c>
      <c r="K9" s="42">
        <v>2</v>
      </c>
      <c r="L9" s="45">
        <v>2</v>
      </c>
      <c r="M9" s="42">
        <v>2</v>
      </c>
      <c r="N9" s="42">
        <v>2</v>
      </c>
      <c r="O9" s="42">
        <v>2.5</v>
      </c>
      <c r="P9" s="41">
        <v>3</v>
      </c>
    </row>
    <row r="10" spans="1:22" x14ac:dyDescent="0.15">
      <c r="A10" s="1" t="s">
        <v>54</v>
      </c>
      <c r="D10" s="41">
        <v>0</v>
      </c>
      <c r="E10" s="42">
        <v>0.2</v>
      </c>
      <c r="F10" s="42">
        <v>0.6</v>
      </c>
      <c r="G10" s="42">
        <v>0.6</v>
      </c>
      <c r="H10" s="43">
        <v>1</v>
      </c>
      <c r="I10" s="44">
        <v>1</v>
      </c>
      <c r="J10" s="42">
        <v>1</v>
      </c>
      <c r="K10" s="42">
        <v>2</v>
      </c>
      <c r="L10" s="45">
        <v>2</v>
      </c>
      <c r="M10" s="42">
        <v>2</v>
      </c>
      <c r="N10" s="42">
        <v>2.5</v>
      </c>
      <c r="O10" s="42">
        <v>3</v>
      </c>
      <c r="P10" s="41">
        <v>3</v>
      </c>
    </row>
    <row r="11" spans="1:22" x14ac:dyDescent="0.15">
      <c r="A11" s="1" t="s">
        <v>52</v>
      </c>
      <c r="B11" s="42">
        <v>0.05</v>
      </c>
      <c r="C11" s="46">
        <v>2E-3</v>
      </c>
      <c r="D11" s="41">
        <v>0.8</v>
      </c>
      <c r="E11" s="47">
        <v>0.2</v>
      </c>
      <c r="F11" s="43">
        <v>0.2</v>
      </c>
      <c r="G11" s="43">
        <v>0.2</v>
      </c>
      <c r="H11" s="43">
        <v>0.5</v>
      </c>
      <c r="I11" s="44">
        <v>1.5</v>
      </c>
      <c r="J11" s="48">
        <f t="shared" ref="J11:P11" si="1">1+($B$11*J3)+($C$11*J4)</f>
        <v>2.75</v>
      </c>
      <c r="K11" s="48">
        <f t="shared" si="1"/>
        <v>3.7</v>
      </c>
      <c r="L11" s="48">
        <f t="shared" si="1"/>
        <v>5.1899999999999995</v>
      </c>
      <c r="M11" s="48">
        <f t="shared" si="1"/>
        <v>7.5940000000000003</v>
      </c>
      <c r="N11" s="48">
        <f t="shared" si="1"/>
        <v>11.380400000000002</v>
      </c>
      <c r="O11" s="48">
        <f t="shared" si="1"/>
        <v>17.478640000000006</v>
      </c>
      <c r="P11" s="48">
        <f t="shared" si="1"/>
        <v>27.165824000000008</v>
      </c>
      <c r="V11" s="1" t="s">
        <v>91</v>
      </c>
    </row>
    <row r="12" spans="1:22" x14ac:dyDescent="0.15">
      <c r="A12" s="1" t="s">
        <v>48</v>
      </c>
      <c r="C12" s="49">
        <v>0.15</v>
      </c>
      <c r="D12" s="41">
        <v>0</v>
      </c>
      <c r="E12" s="42">
        <v>0</v>
      </c>
      <c r="F12" s="42">
        <v>0</v>
      </c>
      <c r="G12" s="42">
        <v>0</v>
      </c>
      <c r="H12" s="43">
        <v>0</v>
      </c>
      <c r="I12" s="44">
        <v>0.5</v>
      </c>
      <c r="J12" s="50">
        <f t="shared" ref="J12:P12" si="2">$C$12*(SUM(J7:J11))</f>
        <v>0.98249999999999993</v>
      </c>
      <c r="K12" s="50">
        <f t="shared" si="2"/>
        <v>1.2749999999999999</v>
      </c>
      <c r="L12" s="51">
        <f t="shared" si="2"/>
        <v>1.4984999999999997</v>
      </c>
      <c r="M12" s="50">
        <f t="shared" si="2"/>
        <v>1.9490999999999998</v>
      </c>
      <c r="N12" s="50">
        <f t="shared" si="2"/>
        <v>2.59206</v>
      </c>
      <c r="O12" s="50">
        <f t="shared" si="2"/>
        <v>3.6567960000000004</v>
      </c>
      <c r="P12" s="50">
        <f t="shared" si="2"/>
        <v>5.1848736000000004</v>
      </c>
      <c r="V12" s="1" t="s">
        <v>92</v>
      </c>
    </row>
    <row r="13" spans="1:22" x14ac:dyDescent="0.15">
      <c r="B13" s="52"/>
      <c r="C13" s="18"/>
      <c r="D13" s="41"/>
      <c r="E13" s="42"/>
      <c r="F13" s="42"/>
      <c r="G13" s="42"/>
      <c r="H13" s="43"/>
      <c r="I13" s="44"/>
      <c r="J13" s="50"/>
      <c r="K13" s="50"/>
      <c r="L13" s="51"/>
      <c r="M13" s="50"/>
      <c r="N13" s="50"/>
      <c r="O13" s="50"/>
      <c r="P13" s="50"/>
    </row>
    <row r="14" spans="1:22" s="2" customFormat="1" x14ac:dyDescent="0.15">
      <c r="A14" s="10" t="s">
        <v>3</v>
      </c>
      <c r="C14" s="3"/>
      <c r="D14" s="4"/>
      <c r="H14" s="5"/>
      <c r="I14" s="6"/>
      <c r="L14" s="7"/>
      <c r="N14" s="9"/>
      <c r="O14" s="9"/>
      <c r="P14" s="53"/>
      <c r="Q14" s="8"/>
      <c r="R14" s="9"/>
      <c r="S14" s="9"/>
      <c r="T14" s="9"/>
      <c r="U14" s="8"/>
    </row>
    <row r="15" spans="1:22" s="10" customFormat="1" x14ac:dyDescent="0.15">
      <c r="A15" s="10" t="s">
        <v>13</v>
      </c>
      <c r="C15" s="54"/>
      <c r="D15" s="55">
        <v>0</v>
      </c>
      <c r="E15" s="56">
        <f>D36</f>
        <v>31020</v>
      </c>
      <c r="F15" s="56">
        <f t="shared" ref="F15:P15" si="3">E36</f>
        <v>13275</v>
      </c>
      <c r="G15" s="56">
        <f t="shared" si="3"/>
        <v>77192.5</v>
      </c>
      <c r="H15" s="57">
        <f t="shared" si="3"/>
        <v>27802.5</v>
      </c>
      <c r="I15" s="58">
        <f t="shared" si="3"/>
        <v>111092.5</v>
      </c>
      <c r="J15" s="56">
        <f t="shared" si="3"/>
        <v>66366.875</v>
      </c>
      <c r="K15" s="56">
        <f t="shared" si="3"/>
        <v>758546.375</v>
      </c>
      <c r="L15" s="59">
        <f t="shared" si="3"/>
        <v>583423.875</v>
      </c>
      <c r="M15" s="56">
        <f t="shared" si="3"/>
        <v>430480.72499999998</v>
      </c>
      <c r="N15" s="56">
        <f t="shared" si="3"/>
        <v>354910.45999999996</v>
      </c>
      <c r="O15" s="56">
        <f t="shared" si="3"/>
        <v>134504.88600000006</v>
      </c>
      <c r="P15" s="60">
        <f t="shared" si="3"/>
        <v>1990658.4176000003</v>
      </c>
      <c r="Q15" s="61"/>
      <c r="R15" s="62"/>
      <c r="S15" s="62"/>
      <c r="T15" s="62"/>
      <c r="U15" s="63"/>
    </row>
    <row r="16" spans="1:22" s="2" customFormat="1" x14ac:dyDescent="0.15">
      <c r="A16" s="2" t="s">
        <v>12</v>
      </c>
      <c r="C16" s="3"/>
      <c r="D16" s="64"/>
      <c r="E16" s="65"/>
      <c r="F16" s="65"/>
      <c r="G16" s="65"/>
      <c r="H16" s="66"/>
      <c r="I16" s="67"/>
      <c r="J16" s="65"/>
      <c r="K16" s="65"/>
      <c r="L16" s="68"/>
      <c r="N16" s="69"/>
      <c r="O16" s="69"/>
      <c r="P16" s="70"/>
      <c r="Q16" s="71"/>
      <c r="R16" s="69"/>
      <c r="S16" s="69"/>
      <c r="T16" s="69"/>
      <c r="U16" s="8"/>
    </row>
    <row r="17" spans="1:22" x14ac:dyDescent="0.15">
      <c r="A17" s="1" t="s">
        <v>14</v>
      </c>
      <c r="D17" s="72">
        <v>50000</v>
      </c>
      <c r="E17" s="56"/>
      <c r="F17" s="73">
        <v>100000</v>
      </c>
      <c r="G17" s="74"/>
      <c r="H17" s="75">
        <v>150000</v>
      </c>
      <c r="I17" s="58"/>
      <c r="J17" s="76">
        <v>800000</v>
      </c>
      <c r="L17" s="14"/>
      <c r="M17" s="65"/>
      <c r="O17" s="77">
        <v>2000000</v>
      </c>
      <c r="Q17" s="78"/>
      <c r="R17" s="79"/>
      <c r="S17" s="79"/>
      <c r="T17" s="79"/>
      <c r="U17" s="37"/>
      <c r="V17" s="1" t="s">
        <v>70</v>
      </c>
    </row>
    <row r="18" spans="1:22" x14ac:dyDescent="0.15">
      <c r="A18" s="1" t="s">
        <v>40</v>
      </c>
      <c r="D18" s="60"/>
      <c r="E18" s="65"/>
      <c r="F18" s="66"/>
      <c r="G18" s="65"/>
      <c r="H18" s="66"/>
      <c r="I18" s="67"/>
      <c r="J18" s="56"/>
      <c r="K18" s="65"/>
      <c r="L18" s="68"/>
      <c r="M18" s="65"/>
      <c r="N18" s="79"/>
      <c r="O18" s="79"/>
      <c r="P18" s="80"/>
      <c r="Q18" s="78"/>
      <c r="R18" s="79"/>
      <c r="S18" s="79"/>
      <c r="T18" s="79"/>
      <c r="U18" s="37"/>
    </row>
    <row r="19" spans="1:22" x14ac:dyDescent="0.15">
      <c r="A19" s="1" t="s">
        <v>45</v>
      </c>
      <c r="B19" s="81">
        <v>0.35</v>
      </c>
      <c r="C19" s="49"/>
      <c r="D19" s="64">
        <v>0</v>
      </c>
      <c r="E19" s="65">
        <v>0</v>
      </c>
      <c r="F19" s="65">
        <v>0</v>
      </c>
      <c r="G19" s="65">
        <v>0</v>
      </c>
      <c r="H19" s="66">
        <v>0</v>
      </c>
      <c r="I19" s="67">
        <f>SUM(E23:H25)*(1+$C$29)*$B$19</f>
        <v>33446.875</v>
      </c>
      <c r="J19" s="65">
        <v>0</v>
      </c>
      <c r="K19" s="65">
        <v>0</v>
      </c>
      <c r="L19" s="68">
        <v>0</v>
      </c>
      <c r="M19" s="65">
        <f>SUM(I23:L25)*(1+$C$29)*$B$19</f>
        <v>81090.625</v>
      </c>
      <c r="N19" s="65">
        <v>0</v>
      </c>
      <c r="O19" s="65">
        <v>0</v>
      </c>
      <c r="P19" s="64">
        <v>0</v>
      </c>
      <c r="Q19" s="78"/>
      <c r="R19" s="79"/>
      <c r="S19" s="79"/>
      <c r="T19" s="79"/>
      <c r="U19" s="37"/>
      <c r="V19" s="1" t="s">
        <v>93</v>
      </c>
    </row>
    <row r="20" spans="1:22" x14ac:dyDescent="0.15">
      <c r="A20" s="1" t="s">
        <v>23</v>
      </c>
      <c r="B20" s="27">
        <v>0.9</v>
      </c>
      <c r="D20" s="64"/>
      <c r="E20" s="65">
        <f>$B$20*E41</f>
        <v>900</v>
      </c>
      <c r="F20" s="65">
        <f t="shared" ref="F20:P20" si="4">$B$20*F41</f>
        <v>1485</v>
      </c>
      <c r="G20" s="65">
        <f t="shared" si="4"/>
        <v>3690</v>
      </c>
      <c r="H20" s="65">
        <f t="shared" si="4"/>
        <v>7200</v>
      </c>
      <c r="I20" s="65">
        <f t="shared" si="4"/>
        <v>19350</v>
      </c>
      <c r="J20" s="65">
        <f t="shared" si="4"/>
        <v>46125</v>
      </c>
      <c r="K20" s="65">
        <f t="shared" si="4"/>
        <v>72900</v>
      </c>
      <c r="L20" s="65">
        <f t="shared" si="4"/>
        <v>115470</v>
      </c>
      <c r="M20" s="65">
        <f t="shared" si="4"/>
        <v>183762</v>
      </c>
      <c r="N20" s="65">
        <f t="shared" si="4"/>
        <v>292489.20000000007</v>
      </c>
      <c r="O20" s="65">
        <f t="shared" si="4"/>
        <v>466812.72000000009</v>
      </c>
      <c r="P20" s="65">
        <f t="shared" si="4"/>
        <v>745100.3520000003</v>
      </c>
      <c r="Q20" s="78"/>
      <c r="R20" s="79"/>
      <c r="S20" s="79"/>
      <c r="T20" s="79"/>
      <c r="U20" s="37"/>
      <c r="V20" s="1" t="s">
        <v>86</v>
      </c>
    </row>
    <row r="21" spans="1:22" x14ac:dyDescent="0.15">
      <c r="A21" s="10" t="s">
        <v>20</v>
      </c>
      <c r="B21" s="2"/>
      <c r="C21" s="3"/>
      <c r="D21" s="64">
        <f t="shared" ref="D21:P21" si="5">SUM(D17:D20)</f>
        <v>50000</v>
      </c>
      <c r="E21" s="65">
        <f t="shared" si="5"/>
        <v>900</v>
      </c>
      <c r="F21" s="65">
        <f t="shared" si="5"/>
        <v>101485</v>
      </c>
      <c r="G21" s="65">
        <f t="shared" si="5"/>
        <v>3690</v>
      </c>
      <c r="H21" s="65">
        <f t="shared" si="5"/>
        <v>157200</v>
      </c>
      <c r="I21" s="65">
        <f t="shared" si="5"/>
        <v>52796.875</v>
      </c>
      <c r="J21" s="65">
        <f t="shared" si="5"/>
        <v>846125</v>
      </c>
      <c r="K21" s="65">
        <f t="shared" si="5"/>
        <v>72900</v>
      </c>
      <c r="L21" s="65">
        <f t="shared" si="5"/>
        <v>115470</v>
      </c>
      <c r="M21" s="65">
        <f t="shared" si="5"/>
        <v>264852.625</v>
      </c>
      <c r="N21" s="65">
        <f t="shared" si="5"/>
        <v>292489.20000000007</v>
      </c>
      <c r="O21" s="65">
        <f t="shared" si="5"/>
        <v>2466812.7200000002</v>
      </c>
      <c r="P21" s="65">
        <f t="shared" si="5"/>
        <v>745100.3520000003</v>
      </c>
      <c r="Q21" s="82"/>
      <c r="R21" s="83"/>
      <c r="S21" s="83"/>
      <c r="T21" s="83"/>
      <c r="U21" s="84"/>
      <c r="V21" s="1" t="s">
        <v>72</v>
      </c>
    </row>
    <row r="22" spans="1:22" x14ac:dyDescent="0.15">
      <c r="A22" s="2" t="s">
        <v>15</v>
      </c>
      <c r="B22" s="2"/>
      <c r="C22" s="3"/>
      <c r="D22" s="64"/>
      <c r="E22" s="65"/>
      <c r="F22" s="65"/>
      <c r="G22" s="65"/>
      <c r="H22" s="66"/>
      <c r="I22" s="67"/>
      <c r="J22" s="65"/>
      <c r="K22" s="65"/>
      <c r="L22" s="68"/>
      <c r="N22" s="79"/>
      <c r="O22" s="79"/>
      <c r="P22" s="80"/>
      <c r="Q22" s="78"/>
      <c r="R22" s="79"/>
      <c r="S22" s="79"/>
      <c r="T22" s="79"/>
      <c r="U22" s="37"/>
    </row>
    <row r="23" spans="1:22" x14ac:dyDescent="0.15">
      <c r="A23" s="1" t="s">
        <v>53</v>
      </c>
      <c r="B23" s="52">
        <v>100000</v>
      </c>
      <c r="D23" s="64">
        <f t="shared" ref="D23:P23" si="6">($B$23*D7)/12*3</f>
        <v>5000</v>
      </c>
      <c r="E23" s="65">
        <f t="shared" si="6"/>
        <v>5000</v>
      </c>
      <c r="F23" s="65">
        <f t="shared" si="6"/>
        <v>5000</v>
      </c>
      <c r="G23" s="65">
        <f t="shared" si="6"/>
        <v>5000</v>
      </c>
      <c r="H23" s="66">
        <f t="shared" si="6"/>
        <v>5000</v>
      </c>
      <c r="I23" s="67">
        <f t="shared" si="6"/>
        <v>5000</v>
      </c>
      <c r="J23" s="65">
        <f t="shared" si="6"/>
        <v>10000</v>
      </c>
      <c r="K23" s="65">
        <f t="shared" si="6"/>
        <v>10000</v>
      </c>
      <c r="L23" s="68">
        <f t="shared" si="6"/>
        <v>10000</v>
      </c>
      <c r="M23" s="65">
        <f t="shared" si="6"/>
        <v>17500</v>
      </c>
      <c r="N23" s="65">
        <f t="shared" si="6"/>
        <v>17500</v>
      </c>
      <c r="O23" s="65">
        <f t="shared" si="6"/>
        <v>17500</v>
      </c>
      <c r="P23" s="64">
        <f t="shared" si="6"/>
        <v>17500</v>
      </c>
      <c r="Q23" s="78"/>
      <c r="R23" s="79"/>
      <c r="S23" s="79"/>
      <c r="T23" s="79"/>
      <c r="U23" s="37"/>
      <c r="V23" s="1" t="s">
        <v>73</v>
      </c>
    </row>
    <row r="24" spans="1:22" x14ac:dyDescent="0.15">
      <c r="A24" s="1" t="s">
        <v>55</v>
      </c>
      <c r="B24" s="52">
        <v>100000</v>
      </c>
      <c r="D24" s="64">
        <f t="shared" ref="D24:P24" si="7">($B$24*D8)/12*3</f>
        <v>5000</v>
      </c>
      <c r="E24" s="65">
        <f t="shared" si="7"/>
        <v>5000</v>
      </c>
      <c r="F24" s="65">
        <f t="shared" si="7"/>
        <v>5000</v>
      </c>
      <c r="G24" s="65">
        <f t="shared" si="7"/>
        <v>5000</v>
      </c>
      <c r="H24" s="66">
        <f t="shared" si="7"/>
        <v>5000</v>
      </c>
      <c r="I24" s="67">
        <f t="shared" si="7"/>
        <v>5000</v>
      </c>
      <c r="J24" s="65">
        <f t="shared" si="7"/>
        <v>10000</v>
      </c>
      <c r="K24" s="65">
        <f t="shared" si="7"/>
        <v>10000</v>
      </c>
      <c r="L24" s="68">
        <f t="shared" si="7"/>
        <v>10000</v>
      </c>
      <c r="M24" s="65">
        <f t="shared" si="7"/>
        <v>17500</v>
      </c>
      <c r="N24" s="65">
        <f t="shared" si="7"/>
        <v>17500</v>
      </c>
      <c r="O24" s="65">
        <f t="shared" si="7"/>
        <v>17500</v>
      </c>
      <c r="P24" s="64">
        <f t="shared" si="7"/>
        <v>17500</v>
      </c>
      <c r="Q24" s="78"/>
      <c r="R24" s="79"/>
      <c r="S24" s="79"/>
      <c r="T24" s="79"/>
      <c r="U24" s="37"/>
      <c r="V24" s="1" t="s">
        <v>74</v>
      </c>
    </row>
    <row r="25" spans="1:22" x14ac:dyDescent="0.15">
      <c r="A25" s="1" t="s">
        <v>84</v>
      </c>
      <c r="B25" s="52">
        <v>75000</v>
      </c>
      <c r="D25" s="64">
        <f t="shared" ref="D25:P25" si="8">($B$25*D9)/12*3</f>
        <v>0</v>
      </c>
      <c r="E25" s="65">
        <f t="shared" si="8"/>
        <v>0</v>
      </c>
      <c r="F25" s="65">
        <f t="shared" si="8"/>
        <v>9375</v>
      </c>
      <c r="G25" s="65">
        <f t="shared" si="8"/>
        <v>18750</v>
      </c>
      <c r="H25" s="66">
        <f t="shared" si="8"/>
        <v>18750</v>
      </c>
      <c r="I25" s="67">
        <f t="shared" si="8"/>
        <v>28125</v>
      </c>
      <c r="J25" s="65">
        <f t="shared" si="8"/>
        <v>37500</v>
      </c>
      <c r="K25" s="65">
        <f t="shared" si="8"/>
        <v>37500</v>
      </c>
      <c r="L25" s="68">
        <f t="shared" si="8"/>
        <v>37500</v>
      </c>
      <c r="M25" s="65">
        <f t="shared" si="8"/>
        <v>37500</v>
      </c>
      <c r="N25" s="65">
        <f t="shared" si="8"/>
        <v>37500</v>
      </c>
      <c r="O25" s="65">
        <f t="shared" si="8"/>
        <v>46875</v>
      </c>
      <c r="P25" s="64">
        <f t="shared" si="8"/>
        <v>56250</v>
      </c>
      <c r="Q25" s="78"/>
      <c r="R25" s="79"/>
      <c r="S25" s="79"/>
      <c r="T25" s="79"/>
      <c r="U25" s="37"/>
      <c r="V25" s="1" t="s">
        <v>62</v>
      </c>
    </row>
    <row r="26" spans="1:22" x14ac:dyDescent="0.15">
      <c r="A26" s="1" t="s">
        <v>57</v>
      </c>
      <c r="B26" s="52">
        <v>75000</v>
      </c>
      <c r="D26" s="64">
        <f t="shared" ref="D26:P26" si="9">($B$26*D10)/12*3</f>
        <v>0</v>
      </c>
      <c r="E26" s="65">
        <f t="shared" si="9"/>
        <v>3750</v>
      </c>
      <c r="F26" s="65">
        <f t="shared" si="9"/>
        <v>11250</v>
      </c>
      <c r="G26" s="65">
        <f t="shared" si="9"/>
        <v>11250</v>
      </c>
      <c r="H26" s="66">
        <f t="shared" si="9"/>
        <v>18750</v>
      </c>
      <c r="I26" s="67">
        <f t="shared" si="9"/>
        <v>18750</v>
      </c>
      <c r="J26" s="65">
        <f t="shared" si="9"/>
        <v>18750</v>
      </c>
      <c r="K26" s="65">
        <f t="shared" si="9"/>
        <v>37500</v>
      </c>
      <c r="L26" s="68">
        <f t="shared" si="9"/>
        <v>37500</v>
      </c>
      <c r="M26" s="65">
        <f t="shared" si="9"/>
        <v>37500</v>
      </c>
      <c r="N26" s="65">
        <f t="shared" si="9"/>
        <v>46875</v>
      </c>
      <c r="O26" s="65">
        <f t="shared" si="9"/>
        <v>56250</v>
      </c>
      <c r="P26" s="64">
        <f t="shared" si="9"/>
        <v>56250</v>
      </c>
      <c r="Q26" s="78"/>
      <c r="R26" s="79"/>
      <c r="S26" s="79"/>
      <c r="T26" s="79"/>
      <c r="U26" s="37"/>
      <c r="V26" s="1" t="s">
        <v>47</v>
      </c>
    </row>
    <row r="27" spans="1:22" x14ac:dyDescent="0.15">
      <c r="A27" s="1" t="s">
        <v>52</v>
      </c>
      <c r="B27" s="52">
        <v>40000</v>
      </c>
      <c r="D27" s="64">
        <v>7500</v>
      </c>
      <c r="E27" s="65">
        <f t="shared" ref="E27:P27" si="10">($B$27*E11)/12*3</f>
        <v>2000</v>
      </c>
      <c r="F27" s="65">
        <f t="shared" si="10"/>
        <v>2000</v>
      </c>
      <c r="G27" s="65">
        <f t="shared" si="10"/>
        <v>2000</v>
      </c>
      <c r="H27" s="66">
        <f t="shared" si="10"/>
        <v>5000</v>
      </c>
      <c r="I27" s="67">
        <f t="shared" si="10"/>
        <v>15000</v>
      </c>
      <c r="J27" s="65">
        <f t="shared" si="10"/>
        <v>27500</v>
      </c>
      <c r="K27" s="65">
        <f t="shared" si="10"/>
        <v>37000</v>
      </c>
      <c r="L27" s="68">
        <f t="shared" si="10"/>
        <v>51899.999999999985</v>
      </c>
      <c r="M27" s="65">
        <f t="shared" si="10"/>
        <v>75940</v>
      </c>
      <c r="N27" s="65">
        <f t="shared" si="10"/>
        <v>113804.00000000001</v>
      </c>
      <c r="O27" s="65">
        <f t="shared" si="10"/>
        <v>174786.40000000005</v>
      </c>
      <c r="P27" s="64">
        <f t="shared" si="10"/>
        <v>271658.24000000005</v>
      </c>
      <c r="Q27" s="78"/>
      <c r="R27" s="79"/>
      <c r="S27" s="79"/>
      <c r="T27" s="79"/>
      <c r="U27" s="37"/>
      <c r="V27" s="1" t="s">
        <v>75</v>
      </c>
    </row>
    <row r="28" spans="1:22" x14ac:dyDescent="0.15">
      <c r="A28" s="1" t="s">
        <v>48</v>
      </c>
      <c r="B28" s="52">
        <v>40000</v>
      </c>
      <c r="D28" s="64">
        <f t="shared" ref="D28:P28" si="11">($B$28*D12)/12*3</f>
        <v>0</v>
      </c>
      <c r="E28" s="65">
        <f t="shared" si="11"/>
        <v>0</v>
      </c>
      <c r="F28" s="65">
        <f t="shared" si="11"/>
        <v>0</v>
      </c>
      <c r="G28" s="65">
        <f t="shared" si="11"/>
        <v>0</v>
      </c>
      <c r="H28" s="66">
        <f t="shared" si="11"/>
        <v>0</v>
      </c>
      <c r="I28" s="67">
        <f t="shared" si="11"/>
        <v>5000</v>
      </c>
      <c r="J28" s="65">
        <f t="shared" si="11"/>
        <v>9825</v>
      </c>
      <c r="K28" s="65">
        <f t="shared" si="11"/>
        <v>12750</v>
      </c>
      <c r="L28" s="68">
        <f t="shared" si="11"/>
        <v>14984.999999999996</v>
      </c>
      <c r="M28" s="65">
        <f t="shared" si="11"/>
        <v>19491</v>
      </c>
      <c r="N28" s="65">
        <f t="shared" si="11"/>
        <v>25920.6</v>
      </c>
      <c r="O28" s="65">
        <f t="shared" si="11"/>
        <v>36567.960000000006</v>
      </c>
      <c r="P28" s="64">
        <f t="shared" si="11"/>
        <v>51848.736000000004</v>
      </c>
      <c r="Q28" s="78"/>
      <c r="R28" s="79"/>
      <c r="S28" s="79"/>
      <c r="T28" s="79"/>
      <c r="U28" s="37"/>
      <c r="V28" s="1" t="s">
        <v>76</v>
      </c>
    </row>
    <row r="29" spans="1:22" x14ac:dyDescent="0.15">
      <c r="A29" s="1" t="s">
        <v>44</v>
      </c>
      <c r="C29" s="40">
        <v>0.1</v>
      </c>
      <c r="D29" s="80">
        <v>0</v>
      </c>
      <c r="E29" s="65">
        <f>$C$29*SUM(E23:E28)</f>
        <v>1575</v>
      </c>
      <c r="F29" s="65">
        <f t="shared" ref="F29:P29" si="12">$C$29*SUM(F23:F28)</f>
        <v>3262.5</v>
      </c>
      <c r="G29" s="65">
        <f t="shared" si="12"/>
        <v>4200</v>
      </c>
      <c r="H29" s="65">
        <f t="shared" si="12"/>
        <v>5250</v>
      </c>
      <c r="I29" s="67">
        <f t="shared" si="12"/>
        <v>7687.5</v>
      </c>
      <c r="J29" s="65">
        <f t="shared" si="12"/>
        <v>11357.5</v>
      </c>
      <c r="K29" s="65">
        <f t="shared" si="12"/>
        <v>14475</v>
      </c>
      <c r="L29" s="68">
        <f t="shared" si="12"/>
        <v>16188.5</v>
      </c>
      <c r="M29" s="65">
        <f t="shared" si="12"/>
        <v>20543.100000000002</v>
      </c>
      <c r="N29" s="65">
        <f t="shared" si="12"/>
        <v>25909.960000000003</v>
      </c>
      <c r="O29" s="65">
        <f t="shared" si="12"/>
        <v>34947.936000000009</v>
      </c>
      <c r="P29" s="65">
        <f t="shared" si="12"/>
        <v>47100.697600000007</v>
      </c>
      <c r="Q29" s="78"/>
      <c r="R29" s="79"/>
      <c r="S29" s="79"/>
      <c r="T29" s="79"/>
      <c r="U29" s="37"/>
      <c r="V29" s="1" t="s">
        <v>94</v>
      </c>
    </row>
    <row r="30" spans="1:22" x14ac:dyDescent="0.15">
      <c r="A30" s="1" t="s">
        <v>17</v>
      </c>
      <c r="B30" s="85"/>
      <c r="D30" s="86">
        <v>1000</v>
      </c>
      <c r="E30" s="87">
        <v>1000</v>
      </c>
      <c r="F30" s="87">
        <v>1000</v>
      </c>
      <c r="G30" s="87">
        <v>1000</v>
      </c>
      <c r="H30" s="88">
        <v>5000</v>
      </c>
      <c r="I30" s="89">
        <v>1000</v>
      </c>
      <c r="J30" s="87">
        <v>1000</v>
      </c>
      <c r="K30" s="87">
        <v>30000</v>
      </c>
      <c r="L30" s="90">
        <v>5000</v>
      </c>
      <c r="M30" s="87">
        <v>1000</v>
      </c>
      <c r="N30" s="87">
        <v>60000</v>
      </c>
      <c r="O30" s="87">
        <v>1000</v>
      </c>
      <c r="P30" s="87">
        <v>5000</v>
      </c>
      <c r="Q30" s="78"/>
      <c r="R30" s="79"/>
      <c r="S30" s="79"/>
      <c r="T30" s="79"/>
      <c r="U30" s="37"/>
      <c r="V30" s="1" t="s">
        <v>95</v>
      </c>
    </row>
    <row r="31" spans="1:22" x14ac:dyDescent="0.15">
      <c r="A31" s="1" t="s">
        <v>43</v>
      </c>
      <c r="B31" s="52">
        <v>500</v>
      </c>
      <c r="C31" s="91"/>
      <c r="D31" s="86">
        <v>0</v>
      </c>
      <c r="E31" s="87">
        <v>0</v>
      </c>
      <c r="F31" s="87">
        <v>0</v>
      </c>
      <c r="G31" s="87">
        <v>0</v>
      </c>
      <c r="H31" s="88">
        <v>0</v>
      </c>
      <c r="I31" s="89">
        <v>0</v>
      </c>
      <c r="J31" s="87">
        <v>0</v>
      </c>
      <c r="K31" s="66">
        <f>$B$31*(SUM(K7:K12))</f>
        <v>4887.5</v>
      </c>
      <c r="L31" s="66">
        <f t="shared" ref="L31:P31" si="13">$B$31*(SUM(L7:L12))</f>
        <v>5744.2499999999991</v>
      </c>
      <c r="M31" s="66">
        <f t="shared" si="13"/>
        <v>7471.5499999999993</v>
      </c>
      <c r="N31" s="66">
        <f t="shared" si="13"/>
        <v>9936.23</v>
      </c>
      <c r="O31" s="66">
        <f t="shared" si="13"/>
        <v>14017.718000000003</v>
      </c>
      <c r="P31" s="66">
        <f t="shared" si="13"/>
        <v>19875.348800000003</v>
      </c>
      <c r="Q31" s="78"/>
      <c r="R31" s="79"/>
      <c r="S31" s="79"/>
      <c r="T31" s="79"/>
      <c r="V31" s="1" t="s">
        <v>87</v>
      </c>
    </row>
    <row r="32" spans="1:22" x14ac:dyDescent="0.15">
      <c r="A32" s="1" t="s">
        <v>64</v>
      </c>
      <c r="B32" s="18">
        <v>0.3</v>
      </c>
      <c r="D32" s="86">
        <v>0</v>
      </c>
      <c r="E32" s="92">
        <v>0</v>
      </c>
      <c r="F32" s="92">
        <v>0</v>
      </c>
      <c r="G32" s="92">
        <v>5000</v>
      </c>
      <c r="H32" s="92">
        <v>10000</v>
      </c>
      <c r="I32" s="92">
        <v>10000</v>
      </c>
      <c r="J32" s="92">
        <v>25000</v>
      </c>
      <c r="K32" s="92">
        <v>50000</v>
      </c>
      <c r="L32" s="93">
        <v>75000</v>
      </c>
      <c r="M32" s="94">
        <v>100000</v>
      </c>
      <c r="N32" s="94">
        <v>150000</v>
      </c>
      <c r="O32" s="94">
        <v>200000</v>
      </c>
      <c r="P32" s="94">
        <v>300000</v>
      </c>
      <c r="Q32" s="78"/>
      <c r="R32" s="79"/>
      <c r="S32" s="79"/>
      <c r="T32" s="79"/>
      <c r="U32" s="37"/>
      <c r="V32" s="1" t="s">
        <v>77</v>
      </c>
    </row>
    <row r="33" spans="1:22" x14ac:dyDescent="0.15">
      <c r="A33" s="1" t="s">
        <v>80</v>
      </c>
      <c r="B33" s="95">
        <v>400</v>
      </c>
      <c r="D33" s="66">
        <f t="shared" ref="D33:P33" si="14">$B$33*SUM(D7:D12)</f>
        <v>480.00000000000006</v>
      </c>
      <c r="E33" s="119">
        <f t="shared" si="14"/>
        <v>320</v>
      </c>
      <c r="F33" s="65">
        <f t="shared" si="14"/>
        <v>680</v>
      </c>
      <c r="G33" s="65">
        <f t="shared" si="14"/>
        <v>880.00000000000011</v>
      </c>
      <c r="H33" s="65">
        <f t="shared" si="14"/>
        <v>1160</v>
      </c>
      <c r="I33" s="65">
        <f t="shared" si="14"/>
        <v>1960.0000000000002</v>
      </c>
      <c r="J33" s="65">
        <f t="shared" si="14"/>
        <v>3013</v>
      </c>
      <c r="K33" s="65">
        <f t="shared" si="14"/>
        <v>3910</v>
      </c>
      <c r="L33" s="68">
        <f t="shared" si="14"/>
        <v>4595.3999999999996</v>
      </c>
      <c r="M33" s="65">
        <f t="shared" si="14"/>
        <v>5977.24</v>
      </c>
      <c r="N33" s="65">
        <f t="shared" si="14"/>
        <v>7948.9840000000004</v>
      </c>
      <c r="O33" s="65">
        <f t="shared" si="14"/>
        <v>11214.174400000002</v>
      </c>
      <c r="P33" s="64">
        <f t="shared" si="14"/>
        <v>15900.279040000003</v>
      </c>
      <c r="Q33" s="78"/>
      <c r="R33" s="79"/>
      <c r="S33" s="79"/>
      <c r="T33" s="79"/>
      <c r="U33" s="37"/>
      <c r="V33" s="1" t="s">
        <v>96</v>
      </c>
    </row>
    <row r="34" spans="1:22" x14ac:dyDescent="0.15">
      <c r="A34" s="10" t="s">
        <v>21</v>
      </c>
      <c r="D34" s="64">
        <f t="shared" ref="D34:P34" si="15">SUM(D23:D33)</f>
        <v>18980</v>
      </c>
      <c r="E34" s="65">
        <f t="shared" si="15"/>
        <v>18645</v>
      </c>
      <c r="F34" s="65">
        <f t="shared" si="15"/>
        <v>37567.5</v>
      </c>
      <c r="G34" s="65">
        <f t="shared" si="15"/>
        <v>53080</v>
      </c>
      <c r="H34" s="66">
        <f t="shared" si="15"/>
        <v>73910</v>
      </c>
      <c r="I34" s="67">
        <f t="shared" si="15"/>
        <v>97522.5</v>
      </c>
      <c r="J34" s="65">
        <f t="shared" si="15"/>
        <v>153945.5</v>
      </c>
      <c r="K34" s="65">
        <f t="shared" si="15"/>
        <v>248022.5</v>
      </c>
      <c r="L34" s="68">
        <f t="shared" si="15"/>
        <v>268413.15000000002</v>
      </c>
      <c r="M34" s="65">
        <f t="shared" si="15"/>
        <v>340422.89</v>
      </c>
      <c r="N34" s="65">
        <f t="shared" si="15"/>
        <v>512894.77399999998</v>
      </c>
      <c r="O34" s="65">
        <f t="shared" si="15"/>
        <v>610659.18839999998</v>
      </c>
      <c r="P34" s="64">
        <f t="shared" si="15"/>
        <v>858883.30144000007</v>
      </c>
      <c r="Q34" s="82"/>
      <c r="R34" s="83"/>
      <c r="S34" s="83"/>
      <c r="T34" s="83"/>
      <c r="U34" s="84"/>
    </row>
    <row r="35" spans="1:22" s="97" customFormat="1" x14ac:dyDescent="0.15">
      <c r="A35" s="96" t="s">
        <v>46</v>
      </c>
      <c r="C35" s="98"/>
      <c r="D35" s="99">
        <f t="shared" ref="D35:P35" si="16">D21-D34</f>
        <v>31020</v>
      </c>
      <c r="E35" s="100">
        <f t="shared" si="16"/>
        <v>-17745</v>
      </c>
      <c r="F35" s="100">
        <f t="shared" si="16"/>
        <v>63917.5</v>
      </c>
      <c r="G35" s="100">
        <f t="shared" si="16"/>
        <v>-49390</v>
      </c>
      <c r="H35" s="101">
        <f t="shared" si="16"/>
        <v>83290</v>
      </c>
      <c r="I35" s="102">
        <f t="shared" si="16"/>
        <v>-44725.625</v>
      </c>
      <c r="J35" s="100">
        <f t="shared" si="16"/>
        <v>692179.5</v>
      </c>
      <c r="K35" s="100">
        <f t="shared" si="16"/>
        <v>-175122.5</v>
      </c>
      <c r="L35" s="103">
        <f t="shared" si="16"/>
        <v>-152943.15000000002</v>
      </c>
      <c r="M35" s="100">
        <f t="shared" si="16"/>
        <v>-75570.265000000014</v>
      </c>
      <c r="N35" s="100">
        <f t="shared" si="16"/>
        <v>-220405.57399999991</v>
      </c>
      <c r="O35" s="100">
        <f t="shared" si="16"/>
        <v>1856153.5316000003</v>
      </c>
      <c r="P35" s="99">
        <f t="shared" si="16"/>
        <v>-113782.94943999976</v>
      </c>
      <c r="Q35" s="82"/>
      <c r="R35" s="83"/>
      <c r="S35" s="83"/>
      <c r="T35" s="83"/>
      <c r="U35" s="104"/>
      <c r="V35" s="97" t="s">
        <v>63</v>
      </c>
    </row>
    <row r="36" spans="1:22" s="105" customFormat="1" x14ac:dyDescent="0.15">
      <c r="A36" s="10" t="s">
        <v>18</v>
      </c>
      <c r="C36" s="106"/>
      <c r="D36" s="107">
        <f t="shared" ref="D36:P36" si="17">D15+D21-D34</f>
        <v>31020</v>
      </c>
      <c r="E36" s="108">
        <f t="shared" si="17"/>
        <v>13275</v>
      </c>
      <c r="F36" s="108">
        <f t="shared" si="17"/>
        <v>77192.5</v>
      </c>
      <c r="G36" s="108">
        <f t="shared" si="17"/>
        <v>27802.5</v>
      </c>
      <c r="H36" s="74">
        <f t="shared" si="17"/>
        <v>111092.5</v>
      </c>
      <c r="I36" s="109">
        <f t="shared" si="17"/>
        <v>66366.875</v>
      </c>
      <c r="J36" s="108">
        <f t="shared" si="17"/>
        <v>758546.375</v>
      </c>
      <c r="K36" s="108">
        <f t="shared" si="17"/>
        <v>583423.875</v>
      </c>
      <c r="L36" s="110">
        <f t="shared" si="17"/>
        <v>430480.72499999998</v>
      </c>
      <c r="M36" s="108">
        <f t="shared" si="17"/>
        <v>354910.45999999996</v>
      </c>
      <c r="N36" s="108">
        <f t="shared" si="17"/>
        <v>134504.88600000006</v>
      </c>
      <c r="O36" s="108">
        <f t="shared" si="17"/>
        <v>1990658.4176000003</v>
      </c>
      <c r="P36" s="107">
        <f t="shared" si="17"/>
        <v>1876875.4681600006</v>
      </c>
      <c r="Q36" s="82"/>
      <c r="R36" s="83"/>
      <c r="S36" s="83"/>
      <c r="T36" s="83"/>
      <c r="U36" s="84"/>
      <c r="V36" s="105" t="s">
        <v>103</v>
      </c>
    </row>
    <row r="37" spans="1:22" x14ac:dyDescent="0.15">
      <c r="A37" s="10"/>
      <c r="D37" s="64"/>
      <c r="E37" s="65"/>
      <c r="F37" s="65"/>
      <c r="G37" s="65"/>
      <c r="H37" s="66"/>
      <c r="I37" s="67"/>
      <c r="J37" s="65"/>
      <c r="K37" s="65"/>
      <c r="L37" s="68"/>
      <c r="N37" s="83"/>
      <c r="O37" s="83"/>
      <c r="P37" s="111"/>
      <c r="Q37" s="82"/>
      <c r="R37" s="83"/>
      <c r="S37" s="83"/>
      <c r="T37" s="83"/>
      <c r="U37" s="84"/>
    </row>
    <row r="38" spans="1:22" x14ac:dyDescent="0.15">
      <c r="A38" s="10" t="s">
        <v>65</v>
      </c>
      <c r="D38" s="64"/>
      <c r="E38" s="65"/>
      <c r="F38" s="65"/>
      <c r="G38" s="65"/>
      <c r="H38" s="66"/>
      <c r="I38" s="67"/>
      <c r="J38" s="65"/>
      <c r="K38" s="65"/>
      <c r="L38" s="68"/>
      <c r="N38" s="83"/>
      <c r="O38" s="83"/>
      <c r="P38" s="111"/>
      <c r="Q38" s="82"/>
      <c r="R38" s="83"/>
      <c r="S38" s="83"/>
      <c r="T38" s="83"/>
      <c r="U38" s="84"/>
    </row>
    <row r="39" spans="1:22" x14ac:dyDescent="0.15">
      <c r="A39" s="2" t="s">
        <v>101</v>
      </c>
      <c r="D39" s="66"/>
      <c r="E39" s="119">
        <f>$C$3*E3+$C$4*E4</f>
        <v>1000</v>
      </c>
      <c r="F39" s="122">
        <f t="shared" ref="F39:P39" si="18">$C$3*F3+$C$4*F4</f>
        <v>1500</v>
      </c>
      <c r="G39" s="123">
        <f t="shared" si="18"/>
        <v>3500</v>
      </c>
      <c r="H39" s="66">
        <f t="shared" si="18"/>
        <v>6500</v>
      </c>
      <c r="I39" s="123">
        <f t="shared" si="18"/>
        <v>17000</v>
      </c>
      <c r="J39" s="66">
        <f t="shared" si="18"/>
        <v>40000</v>
      </c>
      <c r="K39" s="123">
        <f t="shared" si="18"/>
        <v>63000</v>
      </c>
      <c r="L39" s="66">
        <f t="shared" si="18"/>
        <v>99500</v>
      </c>
      <c r="M39" s="123">
        <f t="shared" si="18"/>
        <v>158100</v>
      </c>
      <c r="N39" s="66">
        <f t="shared" si="18"/>
        <v>251260.00000000003</v>
      </c>
      <c r="O39" s="123">
        <f t="shared" si="18"/>
        <v>400716.00000000006</v>
      </c>
      <c r="P39" s="66">
        <f t="shared" si="18"/>
        <v>639145.60000000021</v>
      </c>
      <c r="Q39" s="82"/>
      <c r="R39" s="83"/>
      <c r="S39" s="83"/>
      <c r="T39" s="83"/>
      <c r="U39" s="84"/>
      <c r="V39" s="1" t="s">
        <v>102</v>
      </c>
    </row>
    <row r="40" spans="1:22" x14ac:dyDescent="0.15">
      <c r="A40" s="1" t="s">
        <v>100</v>
      </c>
      <c r="B40" s="27">
        <v>0.2</v>
      </c>
      <c r="C40" s="120">
        <v>75</v>
      </c>
      <c r="D40" s="121"/>
      <c r="E40" s="28">
        <f t="shared" ref="E40:P40" si="19">E4*$C$40*$B40</f>
        <v>0</v>
      </c>
      <c r="F40" s="29">
        <f t="shared" si="19"/>
        <v>150</v>
      </c>
      <c r="G40" s="30">
        <f t="shared" si="19"/>
        <v>600</v>
      </c>
      <c r="H40" s="32">
        <f t="shared" si="19"/>
        <v>1500</v>
      </c>
      <c r="I40" s="30">
        <f t="shared" si="19"/>
        <v>4500</v>
      </c>
      <c r="J40" s="32">
        <f t="shared" si="19"/>
        <v>11250</v>
      </c>
      <c r="K40" s="30">
        <f t="shared" si="19"/>
        <v>18000</v>
      </c>
      <c r="L40" s="32">
        <f t="shared" si="19"/>
        <v>28800</v>
      </c>
      <c r="M40" s="30">
        <f t="shared" si="19"/>
        <v>46080</v>
      </c>
      <c r="N40" s="32">
        <f t="shared" si="19"/>
        <v>73728.000000000015</v>
      </c>
      <c r="O40" s="30">
        <f t="shared" si="19"/>
        <v>117964.80000000003</v>
      </c>
      <c r="P40" s="31">
        <f t="shared" si="19"/>
        <v>188743.68000000005</v>
      </c>
      <c r="V40" s="1" t="s">
        <v>71</v>
      </c>
    </row>
    <row r="41" spans="1:22" s="97" customFormat="1" x14ac:dyDescent="0.15">
      <c r="A41" s="96" t="s">
        <v>22</v>
      </c>
      <c r="C41" s="98"/>
      <c r="D41" s="111"/>
      <c r="E41" s="83">
        <f>E39+E40</f>
        <v>1000</v>
      </c>
      <c r="F41" s="83">
        <f t="shared" ref="F41:P41" si="20">F39+F40</f>
        <v>1650</v>
      </c>
      <c r="G41" s="83">
        <f t="shared" si="20"/>
        <v>4100</v>
      </c>
      <c r="H41" s="83">
        <f t="shared" si="20"/>
        <v>8000</v>
      </c>
      <c r="I41" s="83">
        <f t="shared" si="20"/>
        <v>21500</v>
      </c>
      <c r="J41" s="83">
        <f t="shared" si="20"/>
        <v>51250</v>
      </c>
      <c r="K41" s="83">
        <f t="shared" si="20"/>
        <v>81000</v>
      </c>
      <c r="L41" s="83">
        <f t="shared" si="20"/>
        <v>128300</v>
      </c>
      <c r="M41" s="83">
        <f t="shared" si="20"/>
        <v>204180</v>
      </c>
      <c r="N41" s="83">
        <f t="shared" si="20"/>
        <v>324988.00000000006</v>
      </c>
      <c r="O41" s="83">
        <f t="shared" si="20"/>
        <v>518680.8000000001</v>
      </c>
      <c r="P41" s="83">
        <f t="shared" si="20"/>
        <v>827889.28000000026</v>
      </c>
      <c r="Q41" s="82"/>
      <c r="R41" s="83">
        <f>SUM(E41:H41)</f>
        <v>14750</v>
      </c>
      <c r="S41" s="83">
        <f>SUM(I41:L41)</f>
        <v>282050</v>
      </c>
      <c r="T41" s="83">
        <f>SUM(M41:P41)</f>
        <v>1875738.0800000003</v>
      </c>
      <c r="U41" s="84"/>
      <c r="V41" s="96" t="s">
        <v>22</v>
      </c>
    </row>
    <row r="42" spans="1:22" x14ac:dyDescent="0.15">
      <c r="A42" s="2" t="s">
        <v>19</v>
      </c>
      <c r="D42" s="112"/>
      <c r="E42" s="113"/>
      <c r="F42" s="113"/>
      <c r="G42" s="113"/>
      <c r="H42" s="114"/>
      <c r="I42" s="115"/>
      <c r="J42" s="113"/>
      <c r="K42" s="113"/>
      <c r="L42" s="116"/>
      <c r="N42" s="100"/>
      <c r="O42" s="100"/>
      <c r="P42" s="99"/>
      <c r="Q42" s="84"/>
      <c r="R42" s="100"/>
      <c r="S42" s="100"/>
      <c r="T42" s="100"/>
      <c r="U42" s="84"/>
    </row>
    <row r="43" spans="1:22" x14ac:dyDescent="0.15">
      <c r="A43" s="2" t="s">
        <v>16</v>
      </c>
      <c r="D43" s="112">
        <f t="shared" ref="D43:P43" si="21">D27</f>
        <v>7500</v>
      </c>
      <c r="E43" s="113">
        <f t="shared" si="21"/>
        <v>2000</v>
      </c>
      <c r="F43" s="113">
        <f t="shared" si="21"/>
        <v>2000</v>
      </c>
      <c r="G43" s="113">
        <f t="shared" si="21"/>
        <v>2000</v>
      </c>
      <c r="H43" s="114">
        <f t="shared" si="21"/>
        <v>5000</v>
      </c>
      <c r="I43" s="115">
        <f t="shared" si="21"/>
        <v>15000</v>
      </c>
      <c r="J43" s="113">
        <f t="shared" si="21"/>
        <v>27500</v>
      </c>
      <c r="K43" s="113">
        <f t="shared" si="21"/>
        <v>37000</v>
      </c>
      <c r="L43" s="116">
        <f t="shared" si="21"/>
        <v>51899.999999999985</v>
      </c>
      <c r="M43" s="113">
        <f t="shared" si="21"/>
        <v>75940</v>
      </c>
      <c r="N43" s="113">
        <f t="shared" si="21"/>
        <v>113804.00000000001</v>
      </c>
      <c r="O43" s="113">
        <f t="shared" si="21"/>
        <v>174786.40000000005</v>
      </c>
      <c r="P43" s="112">
        <f t="shared" si="21"/>
        <v>271658.24000000005</v>
      </c>
      <c r="Q43" s="78"/>
      <c r="R43" s="79"/>
      <c r="S43" s="79"/>
      <c r="T43" s="79"/>
      <c r="U43" s="84"/>
    </row>
    <row r="44" spans="1:22" x14ac:dyDescent="0.15">
      <c r="A44" s="2" t="s">
        <v>1</v>
      </c>
      <c r="D44" s="112">
        <f t="shared" ref="D44:P44" si="22">D41-D43</f>
        <v>-7500</v>
      </c>
      <c r="E44" s="113">
        <f t="shared" si="22"/>
        <v>-1000</v>
      </c>
      <c r="F44" s="113">
        <f t="shared" si="22"/>
        <v>-350</v>
      </c>
      <c r="G44" s="113">
        <f t="shared" si="22"/>
        <v>2100</v>
      </c>
      <c r="H44" s="114">
        <f t="shared" si="22"/>
        <v>3000</v>
      </c>
      <c r="I44" s="115">
        <f t="shared" si="22"/>
        <v>6500</v>
      </c>
      <c r="J44" s="113">
        <f t="shared" si="22"/>
        <v>23750</v>
      </c>
      <c r="K44" s="113">
        <f t="shared" si="22"/>
        <v>44000</v>
      </c>
      <c r="L44" s="116">
        <f t="shared" si="22"/>
        <v>76400.000000000015</v>
      </c>
      <c r="M44" s="113">
        <f t="shared" si="22"/>
        <v>128240</v>
      </c>
      <c r="N44" s="113">
        <f t="shared" si="22"/>
        <v>211184.00000000006</v>
      </c>
      <c r="O44" s="113">
        <f t="shared" si="22"/>
        <v>343894.4</v>
      </c>
      <c r="P44" s="112">
        <f t="shared" si="22"/>
        <v>556231.04000000027</v>
      </c>
      <c r="Q44" s="78"/>
      <c r="R44" s="79"/>
      <c r="S44" s="79"/>
      <c r="T44" s="79"/>
      <c r="U44" s="84"/>
    </row>
    <row r="45" spans="1:22" x14ac:dyDescent="0.15">
      <c r="A45" s="2" t="s">
        <v>39</v>
      </c>
      <c r="D45" s="112">
        <f t="shared" ref="D45:P45" si="23">D34-D33-D27</f>
        <v>11000</v>
      </c>
      <c r="E45" s="113">
        <f t="shared" si="23"/>
        <v>16325</v>
      </c>
      <c r="F45" s="113">
        <f t="shared" si="23"/>
        <v>34887.5</v>
      </c>
      <c r="G45" s="113">
        <f t="shared" si="23"/>
        <v>50200</v>
      </c>
      <c r="H45" s="114">
        <f t="shared" si="23"/>
        <v>67750</v>
      </c>
      <c r="I45" s="115">
        <f t="shared" si="23"/>
        <v>80562.5</v>
      </c>
      <c r="J45" s="113">
        <f t="shared" si="23"/>
        <v>123432.5</v>
      </c>
      <c r="K45" s="113">
        <f t="shared" si="23"/>
        <v>207112.5</v>
      </c>
      <c r="L45" s="116">
        <f t="shared" si="23"/>
        <v>211917.75</v>
      </c>
      <c r="M45" s="113">
        <f t="shared" si="23"/>
        <v>258505.65000000002</v>
      </c>
      <c r="N45" s="113">
        <f t="shared" si="23"/>
        <v>391141.79</v>
      </c>
      <c r="O45" s="113">
        <f t="shared" si="23"/>
        <v>424658.61399999994</v>
      </c>
      <c r="P45" s="112">
        <f t="shared" si="23"/>
        <v>571324.78239999991</v>
      </c>
      <c r="Q45" s="78"/>
      <c r="R45" s="79"/>
      <c r="S45" s="79"/>
      <c r="T45" s="79"/>
      <c r="U45" s="84"/>
    </row>
    <row r="46" spans="1:22" x14ac:dyDescent="0.15">
      <c r="A46" s="1" t="s">
        <v>83</v>
      </c>
      <c r="D46" s="112">
        <f>(D33)/12</f>
        <v>40.000000000000007</v>
      </c>
      <c r="E46" s="113">
        <f t="shared" ref="E46:P46" si="24">D46+(E33/12)</f>
        <v>66.666666666666671</v>
      </c>
      <c r="F46" s="113">
        <f t="shared" si="24"/>
        <v>123.33333333333334</v>
      </c>
      <c r="G46" s="113">
        <f t="shared" si="24"/>
        <v>196.66666666666669</v>
      </c>
      <c r="H46" s="114">
        <f t="shared" si="24"/>
        <v>293.33333333333337</v>
      </c>
      <c r="I46" s="115">
        <f t="shared" si="24"/>
        <v>456.66666666666674</v>
      </c>
      <c r="J46" s="113">
        <f t="shared" si="24"/>
        <v>707.75000000000011</v>
      </c>
      <c r="K46" s="113">
        <f t="shared" si="24"/>
        <v>1033.5833333333335</v>
      </c>
      <c r="L46" s="116">
        <f t="shared" si="24"/>
        <v>1416.5333333333335</v>
      </c>
      <c r="M46" s="113">
        <f t="shared" si="24"/>
        <v>1914.6366666666668</v>
      </c>
      <c r="N46" s="113">
        <f t="shared" si="24"/>
        <v>2577.0520000000001</v>
      </c>
      <c r="O46" s="113">
        <f t="shared" si="24"/>
        <v>3511.5665333333336</v>
      </c>
      <c r="P46" s="112">
        <f t="shared" si="24"/>
        <v>4836.5897866666674</v>
      </c>
      <c r="Q46" s="78"/>
      <c r="R46" s="79"/>
      <c r="S46" s="79"/>
      <c r="T46" s="79"/>
      <c r="U46" s="84"/>
      <c r="V46" s="1" t="s">
        <v>7</v>
      </c>
    </row>
    <row r="47" spans="1:22" x14ac:dyDescent="0.15">
      <c r="A47" s="2" t="s">
        <v>2</v>
      </c>
      <c r="D47" s="112">
        <f t="shared" ref="D47:P47" si="25">SUM(D45,D46)</f>
        <v>11040</v>
      </c>
      <c r="E47" s="113">
        <f t="shared" si="25"/>
        <v>16391.666666666668</v>
      </c>
      <c r="F47" s="113">
        <f t="shared" si="25"/>
        <v>35010.833333333336</v>
      </c>
      <c r="G47" s="113">
        <f t="shared" si="25"/>
        <v>50396.666666666664</v>
      </c>
      <c r="H47" s="114">
        <f t="shared" si="25"/>
        <v>68043.333333333328</v>
      </c>
      <c r="I47" s="115">
        <f t="shared" si="25"/>
        <v>81019.166666666672</v>
      </c>
      <c r="J47" s="113">
        <f t="shared" si="25"/>
        <v>124140.25</v>
      </c>
      <c r="K47" s="113">
        <f t="shared" si="25"/>
        <v>208146.08333333334</v>
      </c>
      <c r="L47" s="116">
        <f t="shared" si="25"/>
        <v>213334.28333333333</v>
      </c>
      <c r="M47" s="113">
        <f t="shared" si="25"/>
        <v>260420.28666666668</v>
      </c>
      <c r="N47" s="113">
        <f t="shared" si="25"/>
        <v>393718.842</v>
      </c>
      <c r="O47" s="113">
        <f t="shared" si="25"/>
        <v>428170.18053333327</v>
      </c>
      <c r="P47" s="112">
        <f t="shared" si="25"/>
        <v>576161.37218666659</v>
      </c>
      <c r="Q47" s="82"/>
      <c r="R47" s="83"/>
      <c r="S47" s="83"/>
      <c r="T47" s="83"/>
    </row>
    <row r="48" spans="1:22" s="105" customFormat="1" x14ac:dyDescent="0.15">
      <c r="A48" s="10" t="s">
        <v>4</v>
      </c>
      <c r="C48" s="106"/>
      <c r="D48" s="107">
        <f t="shared" ref="D48:P48" si="26">D43+D47</f>
        <v>18540</v>
      </c>
      <c r="E48" s="108">
        <f t="shared" si="26"/>
        <v>18391.666666666668</v>
      </c>
      <c r="F48" s="108">
        <f t="shared" si="26"/>
        <v>37010.833333333336</v>
      </c>
      <c r="G48" s="108">
        <f t="shared" si="26"/>
        <v>52396.666666666664</v>
      </c>
      <c r="H48" s="74">
        <f t="shared" si="26"/>
        <v>73043.333333333328</v>
      </c>
      <c r="I48" s="109">
        <f t="shared" si="26"/>
        <v>96019.166666666672</v>
      </c>
      <c r="J48" s="108">
        <f t="shared" si="26"/>
        <v>151640.25</v>
      </c>
      <c r="K48" s="108">
        <f t="shared" si="26"/>
        <v>245146.08333333334</v>
      </c>
      <c r="L48" s="110">
        <f t="shared" si="26"/>
        <v>265234.28333333333</v>
      </c>
      <c r="M48" s="108">
        <f t="shared" si="26"/>
        <v>336360.28666666668</v>
      </c>
      <c r="N48" s="108">
        <f t="shared" si="26"/>
        <v>507522.842</v>
      </c>
      <c r="O48" s="108">
        <f t="shared" si="26"/>
        <v>602956.58053333336</v>
      </c>
      <c r="P48" s="107">
        <f t="shared" si="26"/>
        <v>847819.61218666658</v>
      </c>
      <c r="Q48" s="82"/>
      <c r="R48" s="83"/>
      <c r="S48" s="83"/>
      <c r="T48" s="83"/>
      <c r="U48" s="104"/>
    </row>
    <row r="49" spans="1:22" s="97" customFormat="1" x14ac:dyDescent="0.15">
      <c r="A49" s="96" t="s">
        <v>5</v>
      </c>
      <c r="C49" s="98"/>
      <c r="D49" s="99">
        <f t="shared" ref="D49:P49" si="27">D41-D48</f>
        <v>-18540</v>
      </c>
      <c r="E49" s="100">
        <f t="shared" si="27"/>
        <v>-17391.666666666668</v>
      </c>
      <c r="F49" s="100">
        <f t="shared" si="27"/>
        <v>-35360.833333333336</v>
      </c>
      <c r="G49" s="100">
        <f t="shared" si="27"/>
        <v>-48296.666666666664</v>
      </c>
      <c r="H49" s="101">
        <f t="shared" si="27"/>
        <v>-65043.333333333328</v>
      </c>
      <c r="I49" s="102">
        <f t="shared" si="27"/>
        <v>-74519.166666666672</v>
      </c>
      <c r="J49" s="100">
        <f t="shared" si="27"/>
        <v>-100390.25</v>
      </c>
      <c r="K49" s="100">
        <f t="shared" si="27"/>
        <v>-164146.08333333334</v>
      </c>
      <c r="L49" s="103">
        <f t="shared" si="27"/>
        <v>-136934.28333333333</v>
      </c>
      <c r="M49" s="100">
        <f t="shared" si="27"/>
        <v>-132180.28666666668</v>
      </c>
      <c r="N49" s="100">
        <f t="shared" si="27"/>
        <v>-182534.84199999995</v>
      </c>
      <c r="O49" s="100">
        <f t="shared" si="27"/>
        <v>-84275.780533333251</v>
      </c>
      <c r="P49" s="99">
        <f t="shared" si="27"/>
        <v>-19930.332186666317</v>
      </c>
      <c r="Q49" s="82"/>
      <c r="R49" s="83">
        <f>SUM(E49:H49)</f>
        <v>-166092.5</v>
      </c>
      <c r="S49" s="83">
        <f>SUM(I49:L49)</f>
        <v>-475989.78333333333</v>
      </c>
      <c r="T49" s="83">
        <f>SUM(M49:P49)</f>
        <v>-418921.2413866662</v>
      </c>
      <c r="U49" s="104"/>
      <c r="V49" s="117" t="s">
        <v>78</v>
      </c>
    </row>
    <row r="50" spans="1:22" x14ac:dyDescent="0.15">
      <c r="D50" s="11"/>
      <c r="L50" s="14"/>
    </row>
    <row r="51" spans="1:22" x14ac:dyDescent="0.15">
      <c r="A51" s="10" t="s">
        <v>6</v>
      </c>
      <c r="D51" s="11"/>
      <c r="L51" s="14"/>
    </row>
    <row r="52" spans="1:22" x14ac:dyDescent="0.15">
      <c r="A52" s="10" t="s">
        <v>24</v>
      </c>
      <c r="D52" s="11"/>
      <c r="L52" s="14"/>
      <c r="V52" s="105" t="s">
        <v>25</v>
      </c>
    </row>
    <row r="53" spans="1:22" x14ac:dyDescent="0.15">
      <c r="A53" s="1" t="s">
        <v>26</v>
      </c>
      <c r="B53" s="113"/>
      <c r="D53" s="64">
        <f t="shared" ref="D53:P53" si="28">D36</f>
        <v>31020</v>
      </c>
      <c r="E53" s="65">
        <f t="shared" si="28"/>
        <v>13275</v>
      </c>
      <c r="F53" s="65">
        <f t="shared" si="28"/>
        <v>77192.5</v>
      </c>
      <c r="G53" s="65">
        <f t="shared" si="28"/>
        <v>27802.5</v>
      </c>
      <c r="H53" s="66">
        <f t="shared" si="28"/>
        <v>111092.5</v>
      </c>
      <c r="I53" s="67">
        <f t="shared" si="28"/>
        <v>66366.875</v>
      </c>
      <c r="J53" s="65">
        <f t="shared" si="28"/>
        <v>758546.375</v>
      </c>
      <c r="K53" s="65">
        <f t="shared" si="28"/>
        <v>583423.875</v>
      </c>
      <c r="L53" s="68">
        <f t="shared" si="28"/>
        <v>430480.72499999998</v>
      </c>
      <c r="M53" s="65">
        <f t="shared" si="28"/>
        <v>354910.45999999996</v>
      </c>
      <c r="N53" s="65">
        <f t="shared" si="28"/>
        <v>134504.88600000006</v>
      </c>
      <c r="O53" s="65">
        <f t="shared" si="28"/>
        <v>1990658.4176000003</v>
      </c>
      <c r="P53" s="64">
        <f t="shared" si="28"/>
        <v>1876875.4681600006</v>
      </c>
      <c r="Q53" s="78"/>
      <c r="R53" s="79"/>
      <c r="S53" s="79"/>
      <c r="T53" s="79"/>
    </row>
    <row r="54" spans="1:22" x14ac:dyDescent="0.15">
      <c r="A54" s="1" t="s">
        <v>27</v>
      </c>
      <c r="B54" s="113"/>
      <c r="D54" s="112"/>
      <c r="E54" s="112">
        <f xml:space="preserve"> (1-$B$20) *E41</f>
        <v>99.999999999999972</v>
      </c>
      <c r="F54" s="112">
        <f t="shared" ref="F54:P54" si="29" xml:space="preserve"> (1-$B$20) *F41</f>
        <v>164.99999999999997</v>
      </c>
      <c r="G54" s="112">
        <f t="shared" si="29"/>
        <v>409.99999999999989</v>
      </c>
      <c r="H54" s="112">
        <f t="shared" si="29"/>
        <v>799.99999999999977</v>
      </c>
      <c r="I54" s="112">
        <f t="shared" si="29"/>
        <v>2149.9999999999995</v>
      </c>
      <c r="J54" s="112">
        <f t="shared" si="29"/>
        <v>5124.9999999999991</v>
      </c>
      <c r="K54" s="112">
        <f t="shared" si="29"/>
        <v>8099.9999999999982</v>
      </c>
      <c r="L54" s="112">
        <f t="shared" si="29"/>
        <v>12829.999999999996</v>
      </c>
      <c r="M54" s="112">
        <f t="shared" si="29"/>
        <v>20417.999999999996</v>
      </c>
      <c r="N54" s="112">
        <f t="shared" si="29"/>
        <v>32498.799999999999</v>
      </c>
      <c r="O54" s="112">
        <f t="shared" si="29"/>
        <v>51868.08</v>
      </c>
      <c r="P54" s="112">
        <f t="shared" si="29"/>
        <v>82788.928000000014</v>
      </c>
      <c r="Q54" s="37"/>
      <c r="R54" s="38"/>
      <c r="S54" s="38"/>
      <c r="T54" s="38"/>
      <c r="V54" s="1" t="s">
        <v>97</v>
      </c>
    </row>
    <row r="55" spans="1:22" x14ac:dyDescent="0.15">
      <c r="A55" s="1" t="s">
        <v>79</v>
      </c>
      <c r="B55" s="113"/>
      <c r="D55" s="64">
        <v>0</v>
      </c>
      <c r="E55" s="65">
        <f t="shared" ref="E55:P55" si="30">(D55+E33) - E46</f>
        <v>253.33333333333331</v>
      </c>
      <c r="F55" s="65">
        <f t="shared" si="30"/>
        <v>809.99999999999989</v>
      </c>
      <c r="G55" s="65">
        <f t="shared" si="30"/>
        <v>1493.3333333333333</v>
      </c>
      <c r="H55" s="66">
        <f t="shared" si="30"/>
        <v>2359.9999999999995</v>
      </c>
      <c r="I55" s="67">
        <f t="shared" si="30"/>
        <v>3863.333333333333</v>
      </c>
      <c r="J55" s="65">
        <f t="shared" si="30"/>
        <v>6168.583333333333</v>
      </c>
      <c r="K55" s="65">
        <f t="shared" si="30"/>
        <v>9044.9999999999982</v>
      </c>
      <c r="L55" s="68">
        <f t="shared" si="30"/>
        <v>12223.866666666665</v>
      </c>
      <c r="M55" s="65">
        <f t="shared" si="30"/>
        <v>16286.47</v>
      </c>
      <c r="N55" s="65">
        <f t="shared" si="30"/>
        <v>21658.401999999998</v>
      </c>
      <c r="O55" s="65">
        <f t="shared" si="30"/>
        <v>29361.009866666664</v>
      </c>
      <c r="P55" s="64">
        <f t="shared" si="30"/>
        <v>40424.699120000005</v>
      </c>
      <c r="Q55" s="78"/>
      <c r="R55" s="79"/>
      <c r="S55" s="79"/>
      <c r="T55" s="79"/>
      <c r="V55" s="1" t="s">
        <v>0</v>
      </c>
    </row>
    <row r="56" spans="1:22" x14ac:dyDescent="0.15">
      <c r="A56" s="1" t="s">
        <v>28</v>
      </c>
      <c r="B56" s="65"/>
      <c r="D56" s="64">
        <f t="shared" ref="D56:P56" si="31" xml:space="preserve"> D53 + D54 + D55</f>
        <v>31020</v>
      </c>
      <c r="E56" s="65">
        <f t="shared" si="31"/>
        <v>13628.333333333334</v>
      </c>
      <c r="F56" s="65">
        <f t="shared" si="31"/>
        <v>78167.5</v>
      </c>
      <c r="G56" s="65">
        <f t="shared" si="31"/>
        <v>29705.833333333332</v>
      </c>
      <c r="H56" s="66">
        <f t="shared" si="31"/>
        <v>114252.5</v>
      </c>
      <c r="I56" s="67">
        <f t="shared" si="31"/>
        <v>72380.208333333328</v>
      </c>
      <c r="J56" s="65">
        <f t="shared" si="31"/>
        <v>769839.95833333337</v>
      </c>
      <c r="K56" s="65">
        <f t="shared" si="31"/>
        <v>600568.875</v>
      </c>
      <c r="L56" s="68">
        <f t="shared" si="31"/>
        <v>455534.59166666662</v>
      </c>
      <c r="M56" s="65">
        <f t="shared" si="31"/>
        <v>391614.92999999993</v>
      </c>
      <c r="N56" s="65">
        <f t="shared" si="31"/>
        <v>188662.08800000005</v>
      </c>
      <c r="O56" s="65">
        <f t="shared" si="31"/>
        <v>2071887.5074666671</v>
      </c>
      <c r="P56" s="64">
        <f t="shared" si="31"/>
        <v>2000089.0952800007</v>
      </c>
      <c r="Q56" s="78"/>
      <c r="R56" s="79"/>
      <c r="S56" s="79"/>
      <c r="T56" s="79"/>
    </row>
    <row r="57" spans="1:22" x14ac:dyDescent="0.15">
      <c r="A57" s="10" t="s">
        <v>29</v>
      </c>
      <c r="B57" s="113"/>
      <c r="D57" s="112"/>
      <c r="E57" s="113"/>
      <c r="F57" s="113"/>
      <c r="G57" s="113"/>
      <c r="H57" s="114"/>
      <c r="I57" s="115"/>
      <c r="J57" s="113"/>
      <c r="K57" s="113"/>
      <c r="L57" s="116"/>
      <c r="M57" s="113"/>
      <c r="N57" s="113"/>
      <c r="O57" s="113"/>
      <c r="P57" s="112"/>
      <c r="Q57" s="37"/>
      <c r="R57" s="38"/>
      <c r="S57" s="38"/>
      <c r="T57" s="38"/>
    </row>
    <row r="58" spans="1:22" x14ac:dyDescent="0.15">
      <c r="A58" s="1" t="s">
        <v>31</v>
      </c>
      <c r="B58" s="113"/>
      <c r="D58" s="112">
        <v>0</v>
      </c>
      <c r="E58" s="113">
        <v>0</v>
      </c>
      <c r="F58" s="113">
        <v>0</v>
      </c>
      <c r="G58" s="113">
        <v>0</v>
      </c>
      <c r="H58" s="114">
        <v>0</v>
      </c>
      <c r="I58" s="115">
        <v>0</v>
      </c>
      <c r="J58" s="113">
        <v>0</v>
      </c>
      <c r="K58" s="113">
        <v>0</v>
      </c>
      <c r="L58" s="116">
        <v>0</v>
      </c>
      <c r="M58" s="113">
        <v>0</v>
      </c>
      <c r="N58" s="113">
        <v>0</v>
      </c>
      <c r="O58" s="113">
        <v>0</v>
      </c>
      <c r="P58" s="112">
        <v>0</v>
      </c>
      <c r="Q58" s="37"/>
      <c r="R58" s="38"/>
      <c r="S58" s="38"/>
      <c r="T58" s="38"/>
      <c r="V58" s="1" t="s">
        <v>66</v>
      </c>
    </row>
    <row r="59" spans="1:22" x14ac:dyDescent="0.15">
      <c r="A59" s="1" t="s">
        <v>32</v>
      </c>
      <c r="B59" s="113"/>
      <c r="D59" s="112">
        <f t="shared" ref="D59:P59" si="32">D58</f>
        <v>0</v>
      </c>
      <c r="E59" s="113">
        <f t="shared" si="32"/>
        <v>0</v>
      </c>
      <c r="F59" s="113">
        <f t="shared" si="32"/>
        <v>0</v>
      </c>
      <c r="G59" s="113">
        <f t="shared" si="32"/>
        <v>0</v>
      </c>
      <c r="H59" s="114">
        <f t="shared" si="32"/>
        <v>0</v>
      </c>
      <c r="I59" s="115">
        <f t="shared" si="32"/>
        <v>0</v>
      </c>
      <c r="J59" s="113">
        <f t="shared" si="32"/>
        <v>0</v>
      </c>
      <c r="K59" s="113">
        <f t="shared" si="32"/>
        <v>0</v>
      </c>
      <c r="L59" s="116">
        <f t="shared" si="32"/>
        <v>0</v>
      </c>
      <c r="M59" s="113">
        <f t="shared" si="32"/>
        <v>0</v>
      </c>
      <c r="N59" s="113">
        <f t="shared" si="32"/>
        <v>0</v>
      </c>
      <c r="O59" s="113">
        <f t="shared" si="32"/>
        <v>0</v>
      </c>
      <c r="P59" s="112">
        <f t="shared" si="32"/>
        <v>0</v>
      </c>
      <c r="Q59" s="37"/>
      <c r="R59" s="38"/>
      <c r="S59" s="38"/>
      <c r="T59" s="38"/>
    </row>
    <row r="60" spans="1:22" x14ac:dyDescent="0.15">
      <c r="A60" s="10" t="s">
        <v>30</v>
      </c>
      <c r="B60" s="65"/>
      <c r="D60" s="64">
        <f t="shared" ref="D60:P60" si="33" xml:space="preserve"> D56 - D59</f>
        <v>31020</v>
      </c>
      <c r="E60" s="65">
        <f t="shared" si="33"/>
        <v>13628.333333333334</v>
      </c>
      <c r="F60" s="65">
        <f t="shared" si="33"/>
        <v>78167.5</v>
      </c>
      <c r="G60" s="65">
        <f t="shared" si="33"/>
        <v>29705.833333333332</v>
      </c>
      <c r="H60" s="66">
        <f t="shared" si="33"/>
        <v>114252.5</v>
      </c>
      <c r="I60" s="67">
        <f t="shared" si="33"/>
        <v>72380.208333333328</v>
      </c>
      <c r="J60" s="65">
        <f t="shared" si="33"/>
        <v>769839.95833333337</v>
      </c>
      <c r="K60" s="65">
        <f t="shared" si="33"/>
        <v>600568.875</v>
      </c>
      <c r="L60" s="68">
        <f t="shared" si="33"/>
        <v>455534.59166666662</v>
      </c>
      <c r="M60" s="65">
        <f t="shared" si="33"/>
        <v>391614.92999999993</v>
      </c>
      <c r="N60" s="65">
        <f t="shared" si="33"/>
        <v>188662.08800000005</v>
      </c>
      <c r="O60" s="65">
        <f t="shared" si="33"/>
        <v>2071887.5074666671</v>
      </c>
      <c r="P60" s="64">
        <f t="shared" si="33"/>
        <v>2000089.0952800007</v>
      </c>
      <c r="Q60" s="78"/>
      <c r="R60" s="79"/>
      <c r="S60" s="79"/>
      <c r="T60" s="79"/>
    </row>
    <row r="61" spans="1:22" x14ac:dyDescent="0.15">
      <c r="L61" s="14"/>
      <c r="R61" s="9" t="s">
        <v>51</v>
      </c>
      <c r="S61" s="9" t="s">
        <v>41</v>
      </c>
      <c r="T61" s="9" t="s">
        <v>42</v>
      </c>
    </row>
    <row r="62" spans="1:22" x14ac:dyDescent="0.15">
      <c r="L62" s="14"/>
      <c r="R62" s="118" t="s">
        <v>58</v>
      </c>
      <c r="S62" s="9" t="s">
        <v>59</v>
      </c>
      <c r="T62" s="118" t="s">
        <v>104</v>
      </c>
    </row>
    <row r="63" spans="1:22" x14ac:dyDescent="0.15">
      <c r="L63" s="14"/>
    </row>
    <row r="64" spans="1:22" x14ac:dyDescent="0.15">
      <c r="L64" s="14"/>
    </row>
    <row r="65" spans="12:12" x14ac:dyDescent="0.15">
      <c r="L65" s="14"/>
    </row>
    <row r="66" spans="12:12" x14ac:dyDescent="0.15">
      <c r="L66" s="14"/>
    </row>
    <row r="67" spans="12:12" x14ac:dyDescent="0.15">
      <c r="L67" s="14"/>
    </row>
    <row r="68" spans="12:12" x14ac:dyDescent="0.15">
      <c r="L68" s="14"/>
    </row>
    <row r="69" spans="12:12" x14ac:dyDescent="0.15">
      <c r="L69" s="14"/>
    </row>
    <row r="70" spans="12:12" x14ac:dyDescent="0.15">
      <c r="L70" s="14"/>
    </row>
    <row r="71" spans="12:12" x14ac:dyDescent="0.15">
      <c r="L71" s="14"/>
    </row>
    <row r="72" spans="12:12" x14ac:dyDescent="0.15">
      <c r="L72" s="14"/>
    </row>
    <row r="73" spans="12:12" x14ac:dyDescent="0.15">
      <c r="L73" s="14"/>
    </row>
    <row r="74" spans="12:12" x14ac:dyDescent="0.15">
      <c r="L74" s="14"/>
    </row>
    <row r="75" spans="12:12" x14ac:dyDescent="0.15">
      <c r="L75" s="12"/>
    </row>
    <row r="76" spans="12:12" x14ac:dyDescent="0.15">
      <c r="L76" s="12"/>
    </row>
    <row r="77" spans="12:12" x14ac:dyDescent="0.15">
      <c r="L77" s="12"/>
    </row>
    <row r="78" spans="12:12" x14ac:dyDescent="0.15">
      <c r="L78" s="12"/>
    </row>
    <row r="79" spans="12:12" x14ac:dyDescent="0.15">
      <c r="L79" s="12"/>
    </row>
    <row r="80" spans="12:12" x14ac:dyDescent="0.15">
      <c r="L80" s="12"/>
    </row>
    <row r="81" spans="12:12" x14ac:dyDescent="0.15">
      <c r="L81" s="12"/>
    </row>
    <row r="82" spans="12:12" x14ac:dyDescent="0.15">
      <c r="L82" s="12"/>
    </row>
  </sheetData>
  <phoneticPr fontId="2" type="noConversion"/>
  <pageMargins left="0.303149606299213" right="0.303149606299213" top="0.3" bottom="0.3" header="0.25" footer="0.25"/>
  <pageSetup scale="72" fitToWidth="2" orientation="landscape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SlowGrowth</vt:lpstr>
      <vt:lpstr>SlowGrowth!Print_Area</vt:lpstr>
    </vt:vector>
  </TitlesOfParts>
  <Company>UofT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Wolf</dc:creator>
  <cp:lastModifiedBy>Microsoft Office User</cp:lastModifiedBy>
  <cp:lastPrinted>2022-04-06T21:06:30Z</cp:lastPrinted>
  <dcterms:created xsi:type="dcterms:W3CDTF">2007-11-30T17:47:39Z</dcterms:created>
  <dcterms:modified xsi:type="dcterms:W3CDTF">2022-07-25T19:10:41Z</dcterms:modified>
</cp:coreProperties>
</file>